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55" yWindow="1230" windowWidth="19440" windowHeight="10755" tabRatio="598"/>
  </bookViews>
  <sheets>
    <sheet name="Instructions" sheetId="4" r:id="rId1"/>
    <sheet name="Ventilation Fan Cost Calculator" sheetId="1" r:id="rId2"/>
    <sheet name="Imperial to metric Conv." sheetId="2" r:id="rId3"/>
    <sheet name="Metric to Imperial Conv." sheetId="3" r:id="rId4"/>
  </sheets>
  <calcPr calcId="145621"/>
</workbook>
</file>

<file path=xl/calcChain.xml><?xml version="1.0" encoding="utf-8"?>
<calcChain xmlns="http://schemas.openxmlformats.org/spreadsheetml/2006/main">
  <c r="E31" i="1" l="1"/>
  <c r="H163" i="1"/>
  <c r="H166" i="1"/>
  <c r="H167" i="1"/>
  <c r="H168" i="1"/>
  <c r="H169" i="1"/>
  <c r="H171" i="1"/>
  <c r="H173" i="1"/>
  <c r="H175" i="1"/>
  <c r="H177" i="1"/>
  <c r="H179" i="1"/>
  <c r="H181" i="1"/>
  <c r="E32" i="1"/>
  <c r="H158" i="1"/>
  <c r="E166" i="1"/>
  <c r="F166" i="1"/>
  <c r="AE166" i="1"/>
  <c r="AF166" i="1"/>
  <c r="AG166" i="1"/>
  <c r="AC166" i="1"/>
  <c r="E167" i="1"/>
  <c r="F167" i="1" s="1"/>
  <c r="AE167" i="1"/>
  <c r="AF167" i="1" s="1"/>
  <c r="G167" i="1"/>
  <c r="J167" i="1" s="1"/>
  <c r="Z167" i="1" s="1"/>
  <c r="AG167" i="1"/>
  <c r="R167" i="1"/>
  <c r="AC167" i="1"/>
  <c r="E168" i="1"/>
  <c r="F168" i="1"/>
  <c r="AE168" i="1"/>
  <c r="AF168" i="1"/>
  <c r="G168" i="1" s="1"/>
  <c r="AG168" i="1"/>
  <c r="AC168" i="1"/>
  <c r="H122" i="1"/>
  <c r="E122" i="1"/>
  <c r="AD168" i="1" s="1"/>
  <c r="F122" i="1"/>
  <c r="AE122" i="1"/>
  <c r="AF122" i="1"/>
  <c r="AG122" i="1"/>
  <c r="AC122" i="1"/>
  <c r="AD122" i="1"/>
  <c r="E123" i="1"/>
  <c r="F123" i="1" s="1"/>
  <c r="G123" i="1" s="1"/>
  <c r="AE123" i="1"/>
  <c r="AF123" i="1" s="1"/>
  <c r="H123" i="1"/>
  <c r="J123" i="1" s="1"/>
  <c r="Z123" i="1" s="1"/>
  <c r="I123" i="1"/>
  <c r="S123" i="1" s="1"/>
  <c r="AG123" i="1"/>
  <c r="AC123" i="1"/>
  <c r="AD123" i="1"/>
  <c r="E124" i="1"/>
  <c r="F124" i="1" s="1"/>
  <c r="AE124" i="1"/>
  <c r="AF124" i="1" s="1"/>
  <c r="G124" i="1" s="1"/>
  <c r="H124" i="1"/>
  <c r="AG124" i="1"/>
  <c r="AC124" i="1"/>
  <c r="AD124" i="1"/>
  <c r="E179" i="1"/>
  <c r="F179" i="1" s="1"/>
  <c r="AE179" i="1"/>
  <c r="AF179" i="1" s="1"/>
  <c r="F158" i="1"/>
  <c r="G31" i="1"/>
  <c r="B134" i="1"/>
  <c r="AE134" i="1"/>
  <c r="AF134" i="1" s="1"/>
  <c r="B137" i="1"/>
  <c r="H137" i="1"/>
  <c r="E137" i="1"/>
  <c r="F137" i="1"/>
  <c r="E114" i="1"/>
  <c r="F114" i="1" s="1"/>
  <c r="AF114" i="1"/>
  <c r="G114" i="1" s="1"/>
  <c r="G19" i="1"/>
  <c r="G20" i="1"/>
  <c r="G21" i="1"/>
  <c r="G22" i="1"/>
  <c r="G23" i="1"/>
  <c r="G24" i="1"/>
  <c r="G25" i="1"/>
  <c r="C26" i="1"/>
  <c r="E26" i="1" s="1"/>
  <c r="AC178" i="1"/>
  <c r="B132" i="1"/>
  <c r="H132" i="1"/>
  <c r="E132" i="1"/>
  <c r="AE178" i="1"/>
  <c r="AF178" i="1"/>
  <c r="AG178" i="1"/>
  <c r="B178" i="1"/>
  <c r="K32" i="1"/>
  <c r="J19" i="1"/>
  <c r="J20" i="1"/>
  <c r="J21" i="1"/>
  <c r="J22" i="1"/>
  <c r="J23" i="1"/>
  <c r="J24" i="1"/>
  <c r="J25" i="1"/>
  <c r="L32" i="1"/>
  <c r="K33" i="1"/>
  <c r="L33" i="1"/>
  <c r="K34" i="1"/>
  <c r="L34" i="1"/>
  <c r="K35" i="1"/>
  <c r="L35" i="1"/>
  <c r="U183" i="1"/>
  <c r="Y183" i="1"/>
  <c r="B158" i="1"/>
  <c r="E158" i="1" s="1"/>
  <c r="B159" i="1"/>
  <c r="B160" i="1"/>
  <c r="H160" i="1" s="1"/>
  <c r="B161" i="1"/>
  <c r="B162" i="1"/>
  <c r="H162" i="1" s="1"/>
  <c r="B163" i="1"/>
  <c r="B164" i="1"/>
  <c r="H164" i="1" s="1"/>
  <c r="B165" i="1"/>
  <c r="B169" i="1"/>
  <c r="B170" i="1"/>
  <c r="H170" i="1" s="1"/>
  <c r="B171" i="1"/>
  <c r="B172" i="1"/>
  <c r="B173" i="1"/>
  <c r="B174" i="1"/>
  <c r="H174" i="1" s="1"/>
  <c r="B175" i="1"/>
  <c r="B176" i="1"/>
  <c r="B177" i="1"/>
  <c r="K37" i="1"/>
  <c r="L37" i="1" s="1"/>
  <c r="K38" i="1"/>
  <c r="L38" i="1" s="1"/>
  <c r="K39" i="1"/>
  <c r="L39" i="1" s="1"/>
  <c r="K40" i="1"/>
  <c r="L40" i="1" s="1"/>
  <c r="K41" i="1"/>
  <c r="L41" i="1" s="1"/>
  <c r="K31" i="1"/>
  <c r="L31" i="1" s="1"/>
  <c r="B136" i="1"/>
  <c r="H136" i="1"/>
  <c r="AE136" i="1"/>
  <c r="AF136" i="1"/>
  <c r="G136" i="1" s="1"/>
  <c r="J136" i="1" s="1"/>
  <c r="Z136" i="1" s="1"/>
  <c r="E136" i="1"/>
  <c r="F136" i="1"/>
  <c r="K136" i="1"/>
  <c r="V136" i="1" s="1"/>
  <c r="X136" i="1" s="1"/>
  <c r="B114" i="1"/>
  <c r="H114" i="1" s="1"/>
  <c r="AE114" i="1"/>
  <c r="B133" i="1"/>
  <c r="H133" i="1"/>
  <c r="AE133" i="1"/>
  <c r="AF133" i="1"/>
  <c r="E133" i="1"/>
  <c r="F133" i="1"/>
  <c r="B129" i="1"/>
  <c r="H129" i="1"/>
  <c r="AE129" i="1"/>
  <c r="AF129" i="1"/>
  <c r="G129" i="1" s="1"/>
  <c r="J129" i="1" s="1"/>
  <c r="Z129" i="1" s="1"/>
  <c r="E129" i="1"/>
  <c r="F129" i="1"/>
  <c r="B118" i="1"/>
  <c r="H118" i="1"/>
  <c r="AE118" i="1"/>
  <c r="AF118" i="1"/>
  <c r="G118" i="1" s="1"/>
  <c r="J118" i="1" s="1"/>
  <c r="Z118" i="1" s="1"/>
  <c r="E118" i="1"/>
  <c r="F118" i="1"/>
  <c r="K118" i="1"/>
  <c r="V118" i="1" s="1"/>
  <c r="X118" i="1" s="1"/>
  <c r="B135" i="1"/>
  <c r="H135" i="1"/>
  <c r="AD181" i="1" s="1"/>
  <c r="AE135" i="1"/>
  <c r="AF135" i="1"/>
  <c r="E135" i="1"/>
  <c r="F135" i="1"/>
  <c r="B138" i="1"/>
  <c r="H138" i="1"/>
  <c r="AE138" i="1"/>
  <c r="AF138" i="1"/>
  <c r="E138" i="1"/>
  <c r="F138" i="1"/>
  <c r="AD134" i="1"/>
  <c r="AC134" i="1"/>
  <c r="AG134" i="1"/>
  <c r="F32" i="1"/>
  <c r="F33" i="1"/>
  <c r="F34" i="1"/>
  <c r="F35" i="1"/>
  <c r="G32" i="1"/>
  <c r="G33" i="1"/>
  <c r="G34" i="1"/>
  <c r="G35" i="1"/>
  <c r="H32" i="1"/>
  <c r="H33" i="1"/>
  <c r="H34" i="1"/>
  <c r="H35" i="1"/>
  <c r="H31" i="1"/>
  <c r="F31" i="1"/>
  <c r="H139" i="1"/>
  <c r="H140" i="1"/>
  <c r="H141" i="1"/>
  <c r="H142" i="1"/>
  <c r="H143" i="1"/>
  <c r="H144" i="1"/>
  <c r="H145" i="1"/>
  <c r="H146" i="1"/>
  <c r="H147" i="1"/>
  <c r="B183" i="1"/>
  <c r="H183" i="1" s="1"/>
  <c r="U184" i="1"/>
  <c r="Y184" i="1" s="1"/>
  <c r="J32" i="1"/>
  <c r="J33" i="1"/>
  <c r="J34" i="1"/>
  <c r="J35" i="1"/>
  <c r="I32" i="1"/>
  <c r="I33" i="1"/>
  <c r="I34" i="1"/>
  <c r="I35" i="1"/>
  <c r="B184" i="1"/>
  <c r="E184" i="1" s="1"/>
  <c r="F184" i="1"/>
  <c r="I184" i="1" s="1"/>
  <c r="L184" i="1"/>
  <c r="M184" i="1" s="1"/>
  <c r="B179" i="1"/>
  <c r="B180" i="1"/>
  <c r="H180" i="1" s="1"/>
  <c r="B181" i="1"/>
  <c r="B182" i="1"/>
  <c r="E183" i="1"/>
  <c r="F183" i="1"/>
  <c r="I183" i="1" s="1"/>
  <c r="L183" i="1"/>
  <c r="J184" i="1"/>
  <c r="Z184" i="1" s="1"/>
  <c r="K184" i="1" s="1"/>
  <c r="V184" i="1" s="1"/>
  <c r="E33" i="1"/>
  <c r="E34" i="1"/>
  <c r="E35" i="1"/>
  <c r="K20" i="1"/>
  <c r="K21" i="1"/>
  <c r="K22" i="1"/>
  <c r="K23" i="1"/>
  <c r="I20" i="1"/>
  <c r="I21" i="1"/>
  <c r="I22" i="1"/>
  <c r="I23" i="1"/>
  <c r="H20" i="1"/>
  <c r="H21" i="1"/>
  <c r="H22" i="1"/>
  <c r="H23" i="1"/>
  <c r="H24" i="1"/>
  <c r="AE137" i="1"/>
  <c r="AF137" i="1" s="1"/>
  <c r="G137" i="1" s="1"/>
  <c r="F20" i="1"/>
  <c r="F21" i="1"/>
  <c r="F22" i="1"/>
  <c r="F23" i="1"/>
  <c r="B39" i="1"/>
  <c r="B37" i="1"/>
  <c r="O7" i="3"/>
  <c r="AE183" i="1"/>
  <c r="AF183" i="1"/>
  <c r="G183" i="1"/>
  <c r="J183" i="1"/>
  <c r="Z183" i="1" s="1"/>
  <c r="E36" i="1"/>
  <c r="I36" i="1"/>
  <c r="J36" i="1"/>
  <c r="J31" i="1"/>
  <c r="I31" i="1"/>
  <c r="B115" i="1"/>
  <c r="B116" i="1"/>
  <c r="H116" i="1"/>
  <c r="B117" i="1"/>
  <c r="H117" i="1"/>
  <c r="B119" i="1"/>
  <c r="H119" i="1"/>
  <c r="B120" i="1"/>
  <c r="H120" i="1" s="1"/>
  <c r="B121" i="1"/>
  <c r="B125" i="1"/>
  <c r="H125" i="1"/>
  <c r="B126" i="1"/>
  <c r="H126" i="1"/>
  <c r="AD172" i="1" s="1"/>
  <c r="B127" i="1"/>
  <c r="H127" i="1"/>
  <c r="B128" i="1"/>
  <c r="H128" i="1"/>
  <c r="B130" i="1"/>
  <c r="H130" i="1"/>
  <c r="B131" i="1"/>
  <c r="H131" i="1"/>
  <c r="I63" i="1"/>
  <c r="I64" i="1"/>
  <c r="I65" i="1"/>
  <c r="I66" i="1"/>
  <c r="I67" i="1"/>
  <c r="J64" i="1"/>
  <c r="B64" i="1"/>
  <c r="AE154" i="1"/>
  <c r="AF154" i="1" s="1"/>
  <c r="G64" i="1"/>
  <c r="J65" i="1"/>
  <c r="B65" i="1"/>
  <c r="AE155" i="1"/>
  <c r="AF155" i="1"/>
  <c r="B155" i="1"/>
  <c r="G65" i="1"/>
  <c r="J66" i="1"/>
  <c r="B66" i="1"/>
  <c r="AE156" i="1"/>
  <c r="AF156" i="1" s="1"/>
  <c r="G66" i="1"/>
  <c r="J67" i="1"/>
  <c r="B67" i="1"/>
  <c r="AE157" i="1"/>
  <c r="AF157" i="1"/>
  <c r="B157" i="1"/>
  <c r="E157" i="1" s="1"/>
  <c r="G67" i="1"/>
  <c r="F157" i="1"/>
  <c r="G157" i="1" s="1"/>
  <c r="AE158" i="1"/>
  <c r="AF158" i="1" s="1"/>
  <c r="G158" i="1" s="1"/>
  <c r="J158" i="1" s="1"/>
  <c r="Z158" i="1" s="1"/>
  <c r="K158" i="1" s="1"/>
  <c r="V158" i="1" s="1"/>
  <c r="X158" i="1" s="1"/>
  <c r="AE159" i="1"/>
  <c r="AF159" i="1"/>
  <c r="G159" i="1" s="1"/>
  <c r="E159" i="1"/>
  <c r="F159" i="1"/>
  <c r="AE160" i="1"/>
  <c r="AF160" i="1"/>
  <c r="E160" i="1"/>
  <c r="F160" i="1"/>
  <c r="AE161" i="1"/>
  <c r="AF161" i="1" s="1"/>
  <c r="AE162" i="1"/>
  <c r="AF162" i="1"/>
  <c r="E162" i="1"/>
  <c r="F162" i="1"/>
  <c r="AE163" i="1"/>
  <c r="AF163" i="1" s="1"/>
  <c r="E163" i="1"/>
  <c r="F163" i="1"/>
  <c r="G163" i="1"/>
  <c r="U163" i="1" s="1"/>
  <c r="AE164" i="1"/>
  <c r="AF164" i="1"/>
  <c r="G164" i="1" s="1"/>
  <c r="E164" i="1"/>
  <c r="F164" i="1" s="1"/>
  <c r="AE165" i="1"/>
  <c r="AF165" i="1"/>
  <c r="AE169" i="1"/>
  <c r="AF169" i="1"/>
  <c r="G169" i="1" s="1"/>
  <c r="E169" i="1"/>
  <c r="F169" i="1" s="1"/>
  <c r="AE170" i="1"/>
  <c r="AF170" i="1"/>
  <c r="G170" i="1" s="1"/>
  <c r="R170" i="1" s="1"/>
  <c r="E170" i="1"/>
  <c r="F170" i="1"/>
  <c r="U170" i="1"/>
  <c r="AE171" i="1"/>
  <c r="AF171" i="1"/>
  <c r="E171" i="1"/>
  <c r="F171" i="1"/>
  <c r="AE172" i="1"/>
  <c r="AF172" i="1" s="1"/>
  <c r="AE173" i="1"/>
  <c r="AF173" i="1"/>
  <c r="E173" i="1"/>
  <c r="F173" i="1"/>
  <c r="AE174" i="1"/>
  <c r="AF174" i="1" s="1"/>
  <c r="E174" i="1"/>
  <c r="F174" i="1"/>
  <c r="G174" i="1"/>
  <c r="AE175" i="1"/>
  <c r="AF175" i="1"/>
  <c r="G175" i="1" s="1"/>
  <c r="E175" i="1"/>
  <c r="F175" i="1" s="1"/>
  <c r="AE176" i="1"/>
  <c r="AF176" i="1"/>
  <c r="AE177" i="1"/>
  <c r="AF177" i="1"/>
  <c r="G177" i="1" s="1"/>
  <c r="E177" i="1"/>
  <c r="F177" i="1" s="1"/>
  <c r="AE180" i="1"/>
  <c r="AF180" i="1"/>
  <c r="AE181" i="1"/>
  <c r="AF181" i="1"/>
  <c r="E181" i="1"/>
  <c r="F181" i="1" s="1"/>
  <c r="AE182" i="1"/>
  <c r="AF182" i="1"/>
  <c r="B63" i="1"/>
  <c r="B153" i="1"/>
  <c r="E153" i="1"/>
  <c r="F153" i="1" s="1"/>
  <c r="G63" i="1"/>
  <c r="AE153" i="1"/>
  <c r="AF153" i="1"/>
  <c r="G153" i="1" s="1"/>
  <c r="J63" i="1"/>
  <c r="E64" i="1"/>
  <c r="AG154" i="1"/>
  <c r="E65" i="1"/>
  <c r="AG155" i="1"/>
  <c r="E66" i="1"/>
  <c r="AG156" i="1"/>
  <c r="E67" i="1"/>
  <c r="AG157" i="1"/>
  <c r="AG158" i="1"/>
  <c r="AG159" i="1"/>
  <c r="AG160" i="1"/>
  <c r="AG161" i="1"/>
  <c r="AG162" i="1"/>
  <c r="AG163" i="1"/>
  <c r="AG164" i="1"/>
  <c r="AG165" i="1"/>
  <c r="AG169" i="1"/>
  <c r="AG170" i="1"/>
  <c r="AG171" i="1"/>
  <c r="AG172" i="1"/>
  <c r="AG173" i="1"/>
  <c r="AG174" i="1"/>
  <c r="AG175" i="1"/>
  <c r="AG176" i="1"/>
  <c r="AG177" i="1"/>
  <c r="AG179" i="1"/>
  <c r="AG180" i="1"/>
  <c r="AG181" i="1"/>
  <c r="AG182" i="1"/>
  <c r="AG183" i="1"/>
  <c r="AG184" i="1"/>
  <c r="AG185" i="1"/>
  <c r="AG186" i="1"/>
  <c r="AG187" i="1"/>
  <c r="AG188" i="1"/>
  <c r="AG189" i="1"/>
  <c r="AG190" i="1"/>
  <c r="AG191" i="1"/>
  <c r="E63" i="1"/>
  <c r="AG153" i="1"/>
  <c r="AC154" i="1"/>
  <c r="AC155" i="1"/>
  <c r="AC157" i="1"/>
  <c r="AC158" i="1"/>
  <c r="AC159" i="1"/>
  <c r="AC160" i="1"/>
  <c r="AC161" i="1"/>
  <c r="AC162" i="1"/>
  <c r="AC163" i="1"/>
  <c r="AC164" i="1"/>
  <c r="AC165" i="1"/>
  <c r="AC169" i="1"/>
  <c r="AC170" i="1"/>
  <c r="AC171" i="1"/>
  <c r="AC172" i="1"/>
  <c r="AC173" i="1"/>
  <c r="AC174" i="1"/>
  <c r="AC175" i="1"/>
  <c r="AC176" i="1"/>
  <c r="AC177" i="1"/>
  <c r="AC179" i="1"/>
  <c r="AC180" i="1"/>
  <c r="AC181" i="1"/>
  <c r="AC182" i="1"/>
  <c r="AC153" i="1"/>
  <c r="AC183" i="1"/>
  <c r="AC184" i="1"/>
  <c r="H64" i="1"/>
  <c r="H65" i="1"/>
  <c r="H66" i="1"/>
  <c r="H67" i="1"/>
  <c r="H63" i="1"/>
  <c r="F64" i="1"/>
  <c r="F65" i="1"/>
  <c r="F66" i="1"/>
  <c r="F67" i="1"/>
  <c r="J163" i="1"/>
  <c r="Z163" i="1" s="1"/>
  <c r="K163" i="1" s="1"/>
  <c r="V163" i="1" s="1"/>
  <c r="F63" i="1"/>
  <c r="J153" i="1"/>
  <c r="Z153" i="1" s="1"/>
  <c r="K153" i="1" s="1"/>
  <c r="V153" i="1" s="1"/>
  <c r="X153" i="1" s="1"/>
  <c r="B189" i="1"/>
  <c r="R189" i="1" s="1"/>
  <c r="B190" i="1"/>
  <c r="T190" i="1" s="1"/>
  <c r="B191" i="1"/>
  <c r="B185" i="1"/>
  <c r="B186" i="1"/>
  <c r="T186" i="1" s="1"/>
  <c r="B187" i="1"/>
  <c r="R187" i="1" s="1"/>
  <c r="B188" i="1"/>
  <c r="AE191" i="1"/>
  <c r="AF191" i="1" s="1"/>
  <c r="E145" i="1"/>
  <c r="AD191" i="1" s="1"/>
  <c r="F145" i="1"/>
  <c r="I145" i="1"/>
  <c r="J145" i="1"/>
  <c r="U191" i="1"/>
  <c r="W191" i="1" s="1"/>
  <c r="K191" i="1"/>
  <c r="V191" i="1" s="1"/>
  <c r="X191" i="1" s="1"/>
  <c r="T191" i="1"/>
  <c r="S191" i="1"/>
  <c r="R191" i="1"/>
  <c r="E191" i="1"/>
  <c r="F191" i="1" s="1"/>
  <c r="I191" i="1" s="1"/>
  <c r="L191" i="1" s="1"/>
  <c r="M191" i="1" s="1"/>
  <c r="G191" i="1"/>
  <c r="AE190" i="1"/>
  <c r="AF190" i="1" s="1"/>
  <c r="E144" i="1"/>
  <c r="F144" i="1" s="1"/>
  <c r="I144" i="1" s="1"/>
  <c r="J144" i="1"/>
  <c r="U190" i="1" s="1"/>
  <c r="S190" i="1"/>
  <c r="R190" i="1"/>
  <c r="E190" i="1"/>
  <c r="F190" i="1" s="1"/>
  <c r="I190" i="1" s="1"/>
  <c r="L190" i="1" s="1"/>
  <c r="M190" i="1" s="1"/>
  <c r="G190" i="1"/>
  <c r="AE189" i="1"/>
  <c r="AF189" i="1"/>
  <c r="E143" i="1"/>
  <c r="F143" i="1" s="1"/>
  <c r="I143" i="1" s="1"/>
  <c r="K189" i="1" s="1"/>
  <c r="V189" i="1" s="1"/>
  <c r="X189" i="1" s="1"/>
  <c r="J143" i="1"/>
  <c r="U189" i="1"/>
  <c r="Y189" i="1" s="1"/>
  <c r="J189" i="1"/>
  <c r="Z189" i="1" s="1"/>
  <c r="AA189" i="1" s="1"/>
  <c r="W189" i="1"/>
  <c r="T189" i="1"/>
  <c r="S189" i="1"/>
  <c r="E189" i="1"/>
  <c r="F189" i="1"/>
  <c r="I189" i="1" s="1"/>
  <c r="L189" i="1" s="1"/>
  <c r="M189" i="1" s="1"/>
  <c r="G189" i="1"/>
  <c r="AE188" i="1"/>
  <c r="AF188" i="1" s="1"/>
  <c r="E142" i="1"/>
  <c r="J142" i="1"/>
  <c r="T188" i="1"/>
  <c r="S188" i="1"/>
  <c r="R188" i="1"/>
  <c r="E188" i="1"/>
  <c r="F188" i="1" s="1"/>
  <c r="I188" i="1"/>
  <c r="L188" i="1" s="1"/>
  <c r="M188" i="1" s="1"/>
  <c r="G188" i="1"/>
  <c r="AE187" i="1"/>
  <c r="AF187" i="1"/>
  <c r="E141" i="1"/>
  <c r="AD187" i="1" s="1"/>
  <c r="F141" i="1"/>
  <c r="I141" i="1"/>
  <c r="AC187" i="1"/>
  <c r="J141" i="1"/>
  <c r="U187" i="1"/>
  <c r="Y187" i="1"/>
  <c r="J187" i="1"/>
  <c r="Z187" i="1" s="1"/>
  <c r="AA187" i="1" s="1"/>
  <c r="K187" i="1"/>
  <c r="V187" i="1" s="1"/>
  <c r="X187" i="1" s="1"/>
  <c r="W187" i="1"/>
  <c r="T187" i="1"/>
  <c r="S187" i="1"/>
  <c r="E187" i="1"/>
  <c r="F187" i="1"/>
  <c r="I187" i="1" s="1"/>
  <c r="L187" i="1" s="1"/>
  <c r="M187" i="1"/>
  <c r="G187" i="1"/>
  <c r="AE186" i="1"/>
  <c r="AF186" i="1" s="1"/>
  <c r="E140" i="1"/>
  <c r="AD186" i="1"/>
  <c r="F140" i="1"/>
  <c r="I140" i="1" s="1"/>
  <c r="J140" i="1"/>
  <c r="U186" i="1"/>
  <c r="J186" i="1"/>
  <c r="Z186" i="1" s="1"/>
  <c r="AA186" i="1" s="1"/>
  <c r="S186" i="1"/>
  <c r="R186" i="1"/>
  <c r="E186" i="1"/>
  <c r="F186" i="1" s="1"/>
  <c r="I186" i="1" s="1"/>
  <c r="L186" i="1" s="1"/>
  <c r="M186" i="1" s="1"/>
  <c r="G186" i="1"/>
  <c r="AE185" i="1"/>
  <c r="AF185" i="1" s="1"/>
  <c r="E139" i="1"/>
  <c r="F139" i="1" s="1"/>
  <c r="AE139" i="1"/>
  <c r="AF139" i="1" s="1"/>
  <c r="G139" i="1"/>
  <c r="I139" i="1"/>
  <c r="J139" i="1"/>
  <c r="G185" i="1"/>
  <c r="U185" i="1"/>
  <c r="Y185" i="1" s="1"/>
  <c r="W185" i="1"/>
  <c r="R185" i="1"/>
  <c r="AE184" i="1"/>
  <c r="AF184" i="1"/>
  <c r="G184" i="1"/>
  <c r="AA184" i="1"/>
  <c r="X184" i="1"/>
  <c r="W184" i="1"/>
  <c r="T184" i="1"/>
  <c r="S184" i="1"/>
  <c r="R184" i="1"/>
  <c r="AD183" i="1"/>
  <c r="B109" i="1"/>
  <c r="E109" i="1"/>
  <c r="F109" i="1" s="1"/>
  <c r="G109" i="1" s="1"/>
  <c r="AE109" i="1"/>
  <c r="AF109" i="1" s="1"/>
  <c r="U109" i="1"/>
  <c r="W183" i="1"/>
  <c r="T183" i="1"/>
  <c r="S183" i="1"/>
  <c r="R183" i="1"/>
  <c r="M183" i="1"/>
  <c r="AD182" i="1"/>
  <c r="I136" i="1"/>
  <c r="J109" i="1"/>
  <c r="Z109" i="1" s="1"/>
  <c r="K109" i="1" s="1"/>
  <c r="V109" i="1" s="1"/>
  <c r="X109" i="1" s="1"/>
  <c r="AD180" i="1"/>
  <c r="AD179" i="1"/>
  <c r="F132" i="1"/>
  <c r="AE132" i="1"/>
  <c r="AF132" i="1" s="1"/>
  <c r="G132" i="1" s="1"/>
  <c r="J132" i="1" s="1"/>
  <c r="Z132" i="1" s="1"/>
  <c r="E131" i="1"/>
  <c r="F131" i="1" s="1"/>
  <c r="AE131" i="1"/>
  <c r="AF131" i="1"/>
  <c r="G131" i="1"/>
  <c r="J131" i="1" s="1"/>
  <c r="Z131" i="1" s="1"/>
  <c r="I177" i="1"/>
  <c r="T177" i="1" s="1"/>
  <c r="S177" i="1"/>
  <c r="R177" i="1"/>
  <c r="L177" i="1"/>
  <c r="M177" i="1" s="1"/>
  <c r="E130" i="1"/>
  <c r="AD176" i="1"/>
  <c r="F130" i="1"/>
  <c r="AE130" i="1"/>
  <c r="AF130" i="1"/>
  <c r="AD175" i="1"/>
  <c r="I129" i="1"/>
  <c r="E128" i="1"/>
  <c r="F128" i="1" s="1"/>
  <c r="AD174" i="1"/>
  <c r="AE128" i="1"/>
  <c r="AF128" i="1"/>
  <c r="G128" i="1" s="1"/>
  <c r="I174" i="1"/>
  <c r="S174" i="1" s="1"/>
  <c r="T174" i="1"/>
  <c r="R174" i="1"/>
  <c r="E127" i="1"/>
  <c r="AD173" i="1"/>
  <c r="F127" i="1"/>
  <c r="AE127" i="1"/>
  <c r="AF127" i="1" s="1"/>
  <c r="G127" i="1"/>
  <c r="J127" i="1" s="1"/>
  <c r="E126" i="1"/>
  <c r="F126" i="1"/>
  <c r="AE126" i="1"/>
  <c r="AF126" i="1" s="1"/>
  <c r="E125" i="1"/>
  <c r="AE125" i="1"/>
  <c r="AF125" i="1"/>
  <c r="AE121" i="1"/>
  <c r="AF121" i="1" s="1"/>
  <c r="I170" i="1"/>
  <c r="T170" i="1"/>
  <c r="AE120" i="1"/>
  <c r="AF120" i="1"/>
  <c r="I169" i="1"/>
  <c r="S169" i="1" s="1"/>
  <c r="R169" i="1"/>
  <c r="L169" i="1"/>
  <c r="M169" i="1" s="1"/>
  <c r="E119" i="1"/>
  <c r="AD165" i="1"/>
  <c r="F119" i="1"/>
  <c r="AE119" i="1"/>
  <c r="AF119" i="1" s="1"/>
  <c r="AD164" i="1"/>
  <c r="I118" i="1"/>
  <c r="I164" i="1"/>
  <c r="S164" i="1" s="1"/>
  <c r="E117" i="1"/>
  <c r="F117" i="1"/>
  <c r="AE117" i="1"/>
  <c r="AF117" i="1" s="1"/>
  <c r="AA163" i="1"/>
  <c r="I163" i="1"/>
  <c r="T163" i="1"/>
  <c r="S163" i="1"/>
  <c r="R163" i="1"/>
  <c r="L163" i="1"/>
  <c r="M163" i="1"/>
  <c r="E116" i="1"/>
  <c r="AE116" i="1"/>
  <c r="AF116" i="1"/>
  <c r="AE115" i="1"/>
  <c r="AF115" i="1" s="1"/>
  <c r="AD160" i="1"/>
  <c r="B113" i="1"/>
  <c r="B112" i="1"/>
  <c r="E112" i="1"/>
  <c r="AA158" i="1"/>
  <c r="R158" i="1"/>
  <c r="B111" i="1"/>
  <c r="E111" i="1" s="1"/>
  <c r="B110" i="1"/>
  <c r="E110" i="1"/>
  <c r="F110" i="1" s="1"/>
  <c r="AD156" i="1"/>
  <c r="AD155" i="1"/>
  <c r="AD154" i="1"/>
  <c r="AD153" i="1"/>
  <c r="AA153" i="1"/>
  <c r="R153" i="1"/>
  <c r="Y152" i="1"/>
  <c r="X152" i="1"/>
  <c r="AE110" i="1"/>
  <c r="AF110" i="1"/>
  <c r="G110" i="1"/>
  <c r="K24" i="1"/>
  <c r="I24" i="1"/>
  <c r="F24" i="1"/>
  <c r="U136" i="1"/>
  <c r="L136" i="1"/>
  <c r="U137" i="1"/>
  <c r="U114" i="1"/>
  <c r="U118" i="1"/>
  <c r="Y118" i="1"/>
  <c r="U129" i="1"/>
  <c r="K19" i="1"/>
  <c r="I19" i="1"/>
  <c r="H19" i="1"/>
  <c r="L118" i="1"/>
  <c r="L129" i="1"/>
  <c r="F19" i="1"/>
  <c r="F25" i="1"/>
  <c r="H25" i="1"/>
  <c r="I25" i="1"/>
  <c r="K25" i="1"/>
  <c r="E25" i="1"/>
  <c r="U139" i="1"/>
  <c r="K139" i="1"/>
  <c r="V139" i="1" s="1"/>
  <c r="X139" i="1" s="1"/>
  <c r="I38" i="4"/>
  <c r="I39" i="4"/>
  <c r="I40" i="4"/>
  <c r="AE111" i="1"/>
  <c r="AF111" i="1"/>
  <c r="AE112" i="1"/>
  <c r="AF112" i="1"/>
  <c r="AE113" i="1"/>
  <c r="AF113" i="1" s="1"/>
  <c r="Z127" i="1"/>
  <c r="K140" i="1"/>
  <c r="V140" i="1" s="1"/>
  <c r="X140" i="1" s="1"/>
  <c r="K141" i="1"/>
  <c r="V141" i="1" s="1"/>
  <c r="K142" i="1"/>
  <c r="K143" i="1"/>
  <c r="K144" i="1"/>
  <c r="V144" i="1" s="1"/>
  <c r="X144" i="1" s="1"/>
  <c r="K145" i="1"/>
  <c r="V145" i="1" s="1"/>
  <c r="X145" i="1" s="1"/>
  <c r="K146" i="1"/>
  <c r="K147" i="1"/>
  <c r="Z139" i="1"/>
  <c r="AA139" i="1" s="1"/>
  <c r="Z140" i="1"/>
  <c r="AA140" i="1" s="1"/>
  <c r="Z141" i="1"/>
  <c r="Z143" i="1"/>
  <c r="Z144" i="1"/>
  <c r="AA144" i="1" s="1"/>
  <c r="Z145" i="1"/>
  <c r="J146" i="1"/>
  <c r="Z146" i="1"/>
  <c r="AA146" i="1" s="1"/>
  <c r="J147" i="1"/>
  <c r="Z147" i="1" s="1"/>
  <c r="AA147" i="1" s="1"/>
  <c r="AA118" i="1"/>
  <c r="AA136" i="1"/>
  <c r="AA141" i="1"/>
  <c r="AA143" i="1"/>
  <c r="AA145" i="1"/>
  <c r="AA109" i="1"/>
  <c r="E38" i="1"/>
  <c r="F38" i="1"/>
  <c r="G38" i="1"/>
  <c r="H38" i="1"/>
  <c r="I38" i="1"/>
  <c r="J38" i="1"/>
  <c r="E39" i="1"/>
  <c r="F39" i="1"/>
  <c r="G39" i="1"/>
  <c r="H39" i="1"/>
  <c r="I39" i="1"/>
  <c r="J39" i="1"/>
  <c r="E40" i="1"/>
  <c r="F40" i="1"/>
  <c r="G40" i="1"/>
  <c r="H40" i="1"/>
  <c r="I40" i="1"/>
  <c r="J40" i="1"/>
  <c r="E41" i="1"/>
  <c r="F41" i="1"/>
  <c r="G41" i="1"/>
  <c r="H41" i="1"/>
  <c r="I41" i="1"/>
  <c r="J41" i="1"/>
  <c r="J37" i="1"/>
  <c r="I37" i="1"/>
  <c r="H37" i="1"/>
  <c r="I109" i="1"/>
  <c r="L109" i="1" s="1"/>
  <c r="G37" i="1"/>
  <c r="F37" i="1"/>
  <c r="E37" i="1"/>
  <c r="B41" i="1"/>
  <c r="B40" i="1"/>
  <c r="B38" i="1"/>
  <c r="U127" i="1"/>
  <c r="T139" i="1"/>
  <c r="S139" i="1"/>
  <c r="G7" i="2"/>
  <c r="C7" i="2"/>
  <c r="D7" i="2"/>
  <c r="B43" i="3"/>
  <c r="B44" i="3" s="1"/>
  <c r="C42" i="3"/>
  <c r="H26" i="3"/>
  <c r="H27" i="3" s="1"/>
  <c r="I26" i="3"/>
  <c r="I25" i="3"/>
  <c r="T9" i="3"/>
  <c r="U9" i="3" s="1"/>
  <c r="T10" i="3"/>
  <c r="R9" i="3"/>
  <c r="Q9" i="3"/>
  <c r="Q10" i="3"/>
  <c r="L9" i="3"/>
  <c r="K9" i="3"/>
  <c r="K10" i="3" s="1"/>
  <c r="L10" i="3" s="1"/>
  <c r="H9" i="3"/>
  <c r="I9" i="3" s="1"/>
  <c r="H10" i="3"/>
  <c r="E9" i="3"/>
  <c r="F9" i="3" s="1"/>
  <c r="E10" i="3"/>
  <c r="E11" i="3" s="1"/>
  <c r="C9" i="3"/>
  <c r="B9" i="3"/>
  <c r="B10" i="3"/>
  <c r="U8" i="3"/>
  <c r="R8" i="3"/>
  <c r="N8" i="3"/>
  <c r="O8" i="3" s="1"/>
  <c r="L8" i="3"/>
  <c r="I8" i="3"/>
  <c r="F8" i="3"/>
  <c r="C8" i="3"/>
  <c r="U7" i="3"/>
  <c r="R7" i="3"/>
  <c r="L7" i="3"/>
  <c r="I7" i="3"/>
  <c r="F7" i="3"/>
  <c r="C7" i="3"/>
  <c r="B50" i="2"/>
  <c r="B51" i="2" s="1"/>
  <c r="C49" i="2"/>
  <c r="D49" i="2"/>
  <c r="L34" i="2"/>
  <c r="N33" i="2"/>
  <c r="I22" i="2"/>
  <c r="I23" i="2"/>
  <c r="J23" i="2" s="1"/>
  <c r="J21" i="2"/>
  <c r="J20" i="2"/>
  <c r="S9" i="2"/>
  <c r="S10" i="2"/>
  <c r="S11" i="2" s="1"/>
  <c r="T11" i="2" s="1"/>
  <c r="P9" i="2"/>
  <c r="L9" i="2"/>
  <c r="N9" i="2" s="1"/>
  <c r="N35" i="2" s="1"/>
  <c r="L10" i="2"/>
  <c r="I9" i="2"/>
  <c r="I10" i="2" s="1"/>
  <c r="I11" i="2" s="1"/>
  <c r="I12" i="2" s="1"/>
  <c r="I13" i="2" s="1"/>
  <c r="F9" i="2"/>
  <c r="F10" i="2"/>
  <c r="G10" i="2" s="1"/>
  <c r="B9" i="2"/>
  <c r="T8" i="2"/>
  <c r="Q8" i="2"/>
  <c r="N8" i="2"/>
  <c r="N34" i="2"/>
  <c r="J8" i="2"/>
  <c r="G8" i="2"/>
  <c r="C8" i="2"/>
  <c r="D8" i="2"/>
  <c r="T7" i="2"/>
  <c r="Q7" i="2"/>
  <c r="N7" i="2"/>
  <c r="J7" i="2"/>
  <c r="F10" i="3"/>
  <c r="K11" i="3"/>
  <c r="N10" i="3"/>
  <c r="O10" i="3" s="1"/>
  <c r="B11" i="3"/>
  <c r="C10" i="3"/>
  <c r="R10" i="3"/>
  <c r="Q11" i="3"/>
  <c r="N9" i="3"/>
  <c r="O9" i="3" s="1"/>
  <c r="B52" i="2"/>
  <c r="B53" i="2" s="1"/>
  <c r="B54" i="2" s="1"/>
  <c r="C51" i="2"/>
  <c r="D51" i="2" s="1"/>
  <c r="J10" i="2"/>
  <c r="F11" i="2"/>
  <c r="G11" i="2" s="1"/>
  <c r="J9" i="2"/>
  <c r="J22" i="2"/>
  <c r="L35" i="2"/>
  <c r="G9" i="2"/>
  <c r="T9" i="2"/>
  <c r="C50" i="2"/>
  <c r="D50" i="2" s="1"/>
  <c r="U147" i="1"/>
  <c r="Y147" i="1"/>
  <c r="AD138" i="1"/>
  <c r="AC145" i="1"/>
  <c r="AC146" i="1"/>
  <c r="AC147" i="1"/>
  <c r="AC135" i="1"/>
  <c r="AC136" i="1"/>
  <c r="AC137" i="1"/>
  <c r="AC138" i="1"/>
  <c r="AC139" i="1"/>
  <c r="AC140" i="1"/>
  <c r="AC141" i="1"/>
  <c r="AC142" i="1"/>
  <c r="AC143" i="1"/>
  <c r="AC144" i="1"/>
  <c r="AD135" i="1"/>
  <c r="AD136" i="1"/>
  <c r="AD139" i="1"/>
  <c r="AD140" i="1"/>
  <c r="AD141" i="1"/>
  <c r="AD142" i="1"/>
  <c r="AD143" i="1"/>
  <c r="E146" i="1"/>
  <c r="F146" i="1"/>
  <c r="AG147" i="1"/>
  <c r="AE147" i="1"/>
  <c r="AF147" i="1" s="1"/>
  <c r="AD147" i="1"/>
  <c r="AG146" i="1"/>
  <c r="AE146" i="1"/>
  <c r="AD146" i="1"/>
  <c r="U146" i="1"/>
  <c r="Y146" i="1"/>
  <c r="AE140" i="1"/>
  <c r="AE141" i="1"/>
  <c r="AF141" i="1" s="1"/>
  <c r="AE142" i="1"/>
  <c r="AE143" i="1"/>
  <c r="AE144" i="1"/>
  <c r="AE145" i="1"/>
  <c r="AF145" i="1" s="1"/>
  <c r="U145" i="1"/>
  <c r="Y145" i="1"/>
  <c r="AG145" i="1"/>
  <c r="AD145" i="1"/>
  <c r="AG144" i="1"/>
  <c r="AD144" i="1"/>
  <c r="AC133" i="1"/>
  <c r="AC132" i="1"/>
  <c r="AC131" i="1"/>
  <c r="AC130" i="1"/>
  <c r="AC129" i="1"/>
  <c r="AC128" i="1"/>
  <c r="AC127" i="1"/>
  <c r="AC126" i="1"/>
  <c r="AC125" i="1"/>
  <c r="AC121" i="1"/>
  <c r="AC120" i="1"/>
  <c r="AC119" i="1"/>
  <c r="AC118" i="1"/>
  <c r="AC117" i="1"/>
  <c r="AC116" i="1"/>
  <c r="AC115" i="1"/>
  <c r="AC114" i="1"/>
  <c r="AC113" i="1"/>
  <c r="AC111" i="1"/>
  <c r="AC110" i="1"/>
  <c r="AC109" i="1"/>
  <c r="AG142" i="1"/>
  <c r="AG141" i="1"/>
  <c r="AG143" i="1"/>
  <c r="AG140" i="1"/>
  <c r="AG139" i="1"/>
  <c r="AG138" i="1"/>
  <c r="AG137" i="1"/>
  <c r="R137" i="1" s="1"/>
  <c r="AG136" i="1"/>
  <c r="R136" i="1" s="1"/>
  <c r="AG135" i="1"/>
  <c r="AG133" i="1"/>
  <c r="AG132" i="1"/>
  <c r="AG131" i="1"/>
  <c r="R131" i="1" s="1"/>
  <c r="AG130" i="1"/>
  <c r="AG129" i="1"/>
  <c r="AG128" i="1"/>
  <c r="AG127" i="1"/>
  <c r="AG126" i="1"/>
  <c r="AG125" i="1"/>
  <c r="AG121" i="1"/>
  <c r="AG120" i="1"/>
  <c r="AG119" i="1"/>
  <c r="AG118" i="1"/>
  <c r="AG117" i="1"/>
  <c r="AG116" i="1"/>
  <c r="AG115" i="1"/>
  <c r="AG114" i="1"/>
  <c r="R114" i="1" s="1"/>
  <c r="AG113" i="1"/>
  <c r="AG112" i="1"/>
  <c r="AG111" i="1"/>
  <c r="AG110" i="1"/>
  <c r="AG109" i="1"/>
  <c r="H10" i="1"/>
  <c r="Y108" i="1"/>
  <c r="X108" i="1"/>
  <c r="E12" i="3"/>
  <c r="E13" i="3" s="1"/>
  <c r="F13" i="3" s="1"/>
  <c r="F11" i="3"/>
  <c r="C11" i="3"/>
  <c r="B12" i="3"/>
  <c r="C12" i="3" s="1"/>
  <c r="L11" i="3"/>
  <c r="F12" i="2"/>
  <c r="F13" i="2" s="1"/>
  <c r="G13" i="2" s="1"/>
  <c r="C52" i="2"/>
  <c r="D52" i="2" s="1"/>
  <c r="J11" i="2"/>
  <c r="W146" i="1"/>
  <c r="E147" i="1"/>
  <c r="F147" i="1"/>
  <c r="AF143" i="1"/>
  <c r="G143" i="1"/>
  <c r="AF144" i="1"/>
  <c r="G144" i="1"/>
  <c r="AF142" i="1"/>
  <c r="AF140" i="1"/>
  <c r="AF146" i="1"/>
  <c r="G146" i="1"/>
  <c r="W147" i="1"/>
  <c r="G145" i="1"/>
  <c r="W145" i="1"/>
  <c r="G141" i="1"/>
  <c r="AD131" i="1"/>
  <c r="AD120" i="1"/>
  <c r="AD116" i="1"/>
  <c r="G140" i="1"/>
  <c r="AD127" i="1"/>
  <c r="AD112" i="1"/>
  <c r="AD132" i="1"/>
  <c r="AD128" i="1"/>
  <c r="AD121" i="1"/>
  <c r="AD117" i="1"/>
  <c r="AD113" i="1"/>
  <c r="AD109" i="1"/>
  <c r="AD133" i="1"/>
  <c r="AD129" i="1"/>
  <c r="AD125" i="1"/>
  <c r="AD118" i="1"/>
  <c r="AD114" i="1"/>
  <c r="AD110" i="1"/>
  <c r="AD130" i="1"/>
  <c r="AD126" i="1"/>
  <c r="AD119" i="1"/>
  <c r="AD115" i="1"/>
  <c r="AD111" i="1"/>
  <c r="AD137" i="1"/>
  <c r="F12" i="3"/>
  <c r="C54" i="2"/>
  <c r="D54" i="2"/>
  <c r="C53" i="2"/>
  <c r="D53" i="2" s="1"/>
  <c r="J12" i="2"/>
  <c r="G12" i="2"/>
  <c r="R129" i="1"/>
  <c r="R146" i="1"/>
  <c r="R143" i="1"/>
  <c r="R132" i="1"/>
  <c r="U140" i="1"/>
  <c r="W140" i="1" s="1"/>
  <c r="R145" i="1"/>
  <c r="R118" i="1"/>
  <c r="U131" i="1"/>
  <c r="G147" i="1"/>
  <c r="I146" i="1"/>
  <c r="L146" i="1" s="1"/>
  <c r="M146" i="1" s="1"/>
  <c r="V143" i="1"/>
  <c r="X143" i="1"/>
  <c r="S145" i="1"/>
  <c r="V146" i="1"/>
  <c r="X146" i="1" s="1"/>
  <c r="L143" i="1"/>
  <c r="M143" i="1" s="1"/>
  <c r="I147" i="1"/>
  <c r="L147" i="1" s="1"/>
  <c r="M147" i="1" s="1"/>
  <c r="S147" i="1"/>
  <c r="U143" i="1"/>
  <c r="U132" i="1"/>
  <c r="L144" i="1"/>
  <c r="M144" i="1"/>
  <c r="T144" i="1"/>
  <c r="S144" i="1"/>
  <c r="R141" i="1"/>
  <c r="U141" i="1"/>
  <c r="T143" i="1"/>
  <c r="S143" i="1"/>
  <c r="U144" i="1"/>
  <c r="Y144" i="1" s="1"/>
  <c r="R144" i="1"/>
  <c r="R109" i="1"/>
  <c r="R127" i="1"/>
  <c r="T140" i="1"/>
  <c r="S140" i="1"/>
  <c r="L140" i="1"/>
  <c r="S109" i="1"/>
  <c r="T109" i="1"/>
  <c r="L141" i="1"/>
  <c r="M141" i="1" s="1"/>
  <c r="S141" i="1"/>
  <c r="T141" i="1"/>
  <c r="X141" i="1"/>
  <c r="R140" i="1"/>
  <c r="T146" i="1"/>
  <c r="E14" i="3"/>
  <c r="E15" i="3" s="1"/>
  <c r="V147" i="1"/>
  <c r="X147" i="1"/>
  <c r="T147" i="1"/>
  <c r="R147" i="1"/>
  <c r="T145" i="1"/>
  <c r="S146" i="1"/>
  <c r="L145" i="1"/>
  <c r="M145" i="1" s="1"/>
  <c r="Y141" i="1"/>
  <c r="W141" i="1"/>
  <c r="M118" i="1"/>
  <c r="S118" i="1"/>
  <c r="T118" i="1"/>
  <c r="M129" i="1"/>
  <c r="T129" i="1"/>
  <c r="S129" i="1"/>
  <c r="W118" i="1"/>
  <c r="R139" i="1"/>
  <c r="T136" i="1"/>
  <c r="S136" i="1"/>
  <c r="M140" i="1"/>
  <c r="G142" i="1"/>
  <c r="M109" i="1"/>
  <c r="F14" i="3"/>
  <c r="Y140" i="1"/>
  <c r="S142" i="1"/>
  <c r="U142" i="1"/>
  <c r="W142" i="1" s="1"/>
  <c r="R142" i="1"/>
  <c r="M136" i="1"/>
  <c r="T142" i="1"/>
  <c r="E16" i="3"/>
  <c r="F15" i="3"/>
  <c r="V142" i="1"/>
  <c r="X142" i="1"/>
  <c r="F16" i="3"/>
  <c r="E17" i="3"/>
  <c r="E18" i="3" s="1"/>
  <c r="F18" i="3" s="1"/>
  <c r="F17" i="3"/>
  <c r="E19" i="3"/>
  <c r="E20" i="3" s="1"/>
  <c r="F20" i="3" l="1"/>
  <c r="E21" i="3"/>
  <c r="G115" i="1"/>
  <c r="F14" i="2"/>
  <c r="J13" i="2"/>
  <c r="I14" i="2"/>
  <c r="Y139" i="1"/>
  <c r="W139" i="1"/>
  <c r="Y136" i="1"/>
  <c r="W136" i="1"/>
  <c r="U110" i="1"/>
  <c r="R110" i="1"/>
  <c r="J110" i="1"/>
  <c r="Z110" i="1" s="1"/>
  <c r="U188" i="1"/>
  <c r="Z142" i="1"/>
  <c r="AA142" i="1" s="1"/>
  <c r="R175" i="1"/>
  <c r="J175" i="1"/>
  <c r="Z175" i="1" s="1"/>
  <c r="I175" i="1"/>
  <c r="Q12" i="3"/>
  <c r="R11" i="3"/>
  <c r="K127" i="1"/>
  <c r="V127" i="1" s="1"/>
  <c r="AA127" i="1"/>
  <c r="AD157" i="1"/>
  <c r="F111" i="1"/>
  <c r="F112" i="1"/>
  <c r="AD158" i="1"/>
  <c r="G130" i="1"/>
  <c r="I130" i="1"/>
  <c r="K131" i="1"/>
  <c r="V131" i="1" s="1"/>
  <c r="AA131" i="1"/>
  <c r="Y186" i="1"/>
  <c r="W186" i="1"/>
  <c r="J157" i="1"/>
  <c r="Z157" i="1" s="1"/>
  <c r="R157" i="1"/>
  <c r="I157" i="1"/>
  <c r="E155" i="1"/>
  <c r="F155" i="1" s="1"/>
  <c r="C9" i="2"/>
  <c r="D9" i="2" s="1"/>
  <c r="B10" i="2"/>
  <c r="L36" i="2"/>
  <c r="L11" i="2"/>
  <c r="N10" i="2"/>
  <c r="N36" i="2" s="1"/>
  <c r="H11" i="3"/>
  <c r="I10" i="3"/>
  <c r="E113" i="1"/>
  <c r="Y109" i="1"/>
  <c r="W109" i="1"/>
  <c r="F19" i="3"/>
  <c r="Y142" i="1"/>
  <c r="R128" i="1"/>
  <c r="U128" i="1"/>
  <c r="Y190" i="1"/>
  <c r="W190" i="1"/>
  <c r="T11" i="3"/>
  <c r="U10" i="3"/>
  <c r="I27" i="3"/>
  <c r="H28" i="3"/>
  <c r="G119" i="1"/>
  <c r="G126" i="1"/>
  <c r="AA132" i="1"/>
  <c r="K132" i="1"/>
  <c r="V132" i="1" s="1"/>
  <c r="X132" i="1" s="1"/>
  <c r="Y132" i="1" s="1"/>
  <c r="K185" i="1"/>
  <c r="V185" i="1" s="1"/>
  <c r="X185" i="1" s="1"/>
  <c r="J185" i="1"/>
  <c r="Z185" i="1" s="1"/>
  <c r="AA185" i="1" s="1"/>
  <c r="AC185" i="1"/>
  <c r="L139" i="1"/>
  <c r="M139" i="1" s="1"/>
  <c r="AC191" i="1"/>
  <c r="J191" i="1"/>
  <c r="Z191" i="1" s="1"/>
  <c r="AA191" i="1" s="1"/>
  <c r="U153" i="1"/>
  <c r="I153" i="1"/>
  <c r="J164" i="1"/>
  <c r="Z164" i="1" s="1"/>
  <c r="R164" i="1"/>
  <c r="R124" i="1"/>
  <c r="I124" i="1"/>
  <c r="U124" i="1"/>
  <c r="B13" i="3"/>
  <c r="S12" i="2"/>
  <c r="T10" i="2"/>
  <c r="K12" i="3"/>
  <c r="N11" i="3"/>
  <c r="O11" i="3" s="1"/>
  <c r="C43" i="3"/>
  <c r="I110" i="1"/>
  <c r="G117" i="1"/>
  <c r="L164" i="1"/>
  <c r="M164" i="1" s="1"/>
  <c r="S170" i="1"/>
  <c r="L170" i="1"/>
  <c r="M170" i="1" s="1"/>
  <c r="F125" i="1"/>
  <c r="AD171" i="1"/>
  <c r="I128" i="1"/>
  <c r="AD177" i="1"/>
  <c r="AC189" i="1"/>
  <c r="W163" i="1"/>
  <c r="X163" i="1"/>
  <c r="Y163" i="1" s="1"/>
  <c r="G181" i="1"/>
  <c r="W144" i="1"/>
  <c r="W143" i="1"/>
  <c r="Y143" i="1"/>
  <c r="I24" i="2"/>
  <c r="P10" i="2"/>
  <c r="Q9" i="2"/>
  <c r="B45" i="3"/>
  <c r="C44" i="3"/>
  <c r="AD162" i="1"/>
  <c r="F116" i="1"/>
  <c r="G116" i="1" s="1"/>
  <c r="T164" i="1"/>
  <c r="T169" i="1"/>
  <c r="I127" i="1"/>
  <c r="I131" i="1"/>
  <c r="K186" i="1"/>
  <c r="V186" i="1" s="1"/>
  <c r="X186" i="1" s="1"/>
  <c r="AC186" i="1"/>
  <c r="H185" i="1"/>
  <c r="E185" i="1"/>
  <c r="F185" i="1" s="1"/>
  <c r="I185" i="1" s="1"/>
  <c r="L185" i="1" s="1"/>
  <c r="M185" i="1" s="1"/>
  <c r="T185" i="1"/>
  <c r="S185" i="1"/>
  <c r="G172" i="1"/>
  <c r="R117" i="1"/>
  <c r="K129" i="1"/>
  <c r="V129" i="1" s="1"/>
  <c r="AA129" i="1"/>
  <c r="AC156" i="1"/>
  <c r="J128" i="1"/>
  <c r="Z128" i="1" s="1"/>
  <c r="E121" i="1"/>
  <c r="F121" i="1" s="1"/>
  <c r="H121" i="1"/>
  <c r="E115" i="1"/>
  <c r="F115" i="1" s="1"/>
  <c r="H115" i="1"/>
  <c r="H176" i="1"/>
  <c r="E176" i="1"/>
  <c r="F176" i="1" s="1"/>
  <c r="H172" i="1"/>
  <c r="E172" i="1"/>
  <c r="F172" i="1" s="1"/>
  <c r="H165" i="1"/>
  <c r="E165" i="1"/>
  <c r="F165" i="1" s="1"/>
  <c r="E161" i="1"/>
  <c r="F161" i="1" s="1"/>
  <c r="K36" i="1"/>
  <c r="L36" i="1" s="1"/>
  <c r="F36" i="1"/>
  <c r="H161" i="1"/>
  <c r="H36" i="1"/>
  <c r="K123" i="1"/>
  <c r="V123" i="1" s="1"/>
  <c r="X123" i="1" s="1"/>
  <c r="AA123" i="1"/>
  <c r="U117" i="1"/>
  <c r="AD163" i="1"/>
  <c r="R172" i="1"/>
  <c r="AD190" i="1"/>
  <c r="Y191" i="1"/>
  <c r="B156" i="1"/>
  <c r="AC112" i="1"/>
  <c r="L174" i="1"/>
  <c r="M174" i="1" s="1"/>
  <c r="AD188" i="1"/>
  <c r="F142" i="1"/>
  <c r="I142" i="1" s="1"/>
  <c r="K190" i="1"/>
  <c r="V190" i="1" s="1"/>
  <c r="X190" i="1" s="1"/>
  <c r="J190" i="1"/>
  <c r="Z190" i="1" s="1"/>
  <c r="AA190" i="1" s="1"/>
  <c r="AC190" i="1"/>
  <c r="J170" i="1"/>
  <c r="Z170" i="1" s="1"/>
  <c r="J177" i="1"/>
  <c r="Z177" i="1" s="1"/>
  <c r="U177" i="1"/>
  <c r="U174" i="1"/>
  <c r="J174" i="1"/>
  <c r="Z174" i="1" s="1"/>
  <c r="J169" i="1"/>
  <c r="Z169" i="1" s="1"/>
  <c r="U169" i="1"/>
  <c r="H182" i="1"/>
  <c r="E182" i="1"/>
  <c r="F182" i="1" s="1"/>
  <c r="J138" i="1"/>
  <c r="Z138" i="1" s="1"/>
  <c r="AD184" i="1"/>
  <c r="R168" i="1"/>
  <c r="J168" i="1"/>
  <c r="Z168" i="1" s="1"/>
  <c r="U168" i="1"/>
  <c r="I168" i="1"/>
  <c r="K167" i="1"/>
  <c r="V167" i="1" s="1"/>
  <c r="X167" i="1" s="1"/>
  <c r="AA167" i="1"/>
  <c r="U164" i="1"/>
  <c r="I114" i="1"/>
  <c r="H134" i="1"/>
  <c r="E134" i="1"/>
  <c r="F134" i="1" s="1"/>
  <c r="B154" i="1"/>
  <c r="AA183" i="1"/>
  <c r="K183" i="1"/>
  <c r="V183" i="1" s="1"/>
  <c r="X183" i="1" s="1"/>
  <c r="AD189" i="1"/>
  <c r="AD185" i="1"/>
  <c r="J135" i="1"/>
  <c r="Z135" i="1" s="1"/>
  <c r="J133" i="1"/>
  <c r="Z133" i="1" s="1"/>
  <c r="I137" i="1"/>
  <c r="G179" i="1"/>
  <c r="I179" i="1" s="1"/>
  <c r="R123" i="1"/>
  <c r="U123" i="1"/>
  <c r="E120" i="1"/>
  <c r="U175" i="1"/>
  <c r="G173" i="1"/>
  <c r="I173" i="1" s="1"/>
  <c r="G171" i="1"/>
  <c r="I171" i="1" s="1"/>
  <c r="G162" i="1"/>
  <c r="G160" i="1"/>
  <c r="U157" i="1"/>
  <c r="I132" i="1"/>
  <c r="AD178" i="1"/>
  <c r="I158" i="1"/>
  <c r="T123" i="1"/>
  <c r="L123" i="1"/>
  <c r="M123" i="1" s="1"/>
  <c r="U181" i="1"/>
  <c r="J173" i="1"/>
  <c r="Z173" i="1" s="1"/>
  <c r="U173" i="1"/>
  <c r="U167" i="1"/>
  <c r="G138" i="1"/>
  <c r="I138" i="1" s="1"/>
  <c r="G133" i="1"/>
  <c r="G36" i="1"/>
  <c r="H178" i="1"/>
  <c r="E178" i="1"/>
  <c r="F178" i="1" s="1"/>
  <c r="J137" i="1"/>
  <c r="Z137" i="1" s="1"/>
  <c r="G166" i="1"/>
  <c r="U158" i="1"/>
  <c r="R166" i="1"/>
  <c r="H159" i="1"/>
  <c r="E180" i="1"/>
  <c r="F180" i="1" s="1"/>
  <c r="G180" i="1" s="1"/>
  <c r="G135" i="1"/>
  <c r="J114" i="1"/>
  <c r="Z114" i="1" s="1"/>
  <c r="J124" i="1"/>
  <c r="Z124" i="1" s="1"/>
  <c r="G122" i="1"/>
  <c r="I167" i="1"/>
  <c r="H184" i="1"/>
  <c r="S179" i="1" l="1"/>
  <c r="T179" i="1"/>
  <c r="L179" i="1"/>
  <c r="M179" i="1" s="1"/>
  <c r="T171" i="1"/>
  <c r="L171" i="1"/>
  <c r="M171" i="1" s="1"/>
  <c r="S171" i="1"/>
  <c r="U180" i="1"/>
  <c r="J180" i="1"/>
  <c r="Z180" i="1" s="1"/>
  <c r="R180" i="1"/>
  <c r="U116" i="1"/>
  <c r="J116" i="1"/>
  <c r="Z116" i="1" s="1"/>
  <c r="R116" i="1"/>
  <c r="T138" i="1"/>
  <c r="S138" i="1"/>
  <c r="L138" i="1"/>
  <c r="M138" i="1" s="1"/>
  <c r="K114" i="1"/>
  <c r="V114" i="1" s="1"/>
  <c r="AA114" i="1"/>
  <c r="S132" i="1"/>
  <c r="T132" i="1"/>
  <c r="L132" i="1"/>
  <c r="M132" i="1" s="1"/>
  <c r="K135" i="1"/>
  <c r="V135" i="1" s="1"/>
  <c r="X135" i="1" s="1"/>
  <c r="AA135" i="1"/>
  <c r="K138" i="1"/>
  <c r="V138" i="1" s="1"/>
  <c r="X138" i="1" s="1"/>
  <c r="AA138" i="1"/>
  <c r="G182" i="1"/>
  <c r="I182" i="1" s="1"/>
  <c r="K188" i="1"/>
  <c r="V188" i="1" s="1"/>
  <c r="X188" i="1" s="1"/>
  <c r="J188" i="1"/>
  <c r="Z188" i="1" s="1"/>
  <c r="AA188" i="1" s="1"/>
  <c r="AC188" i="1"/>
  <c r="L142" i="1"/>
  <c r="M142" i="1" s="1"/>
  <c r="I176" i="1"/>
  <c r="G176" i="1"/>
  <c r="R176" i="1" s="1"/>
  <c r="AD167" i="1"/>
  <c r="AD170" i="1"/>
  <c r="L127" i="1"/>
  <c r="M127" i="1" s="1"/>
  <c r="T127" i="1"/>
  <c r="S127" i="1"/>
  <c r="B14" i="3"/>
  <c r="C13" i="3"/>
  <c r="J126" i="1"/>
  <c r="Z126" i="1" s="1"/>
  <c r="R126" i="1"/>
  <c r="I126" i="1"/>
  <c r="AD159" i="1"/>
  <c r="F113" i="1"/>
  <c r="N11" i="2"/>
  <c r="N37" i="2" s="1"/>
  <c r="L12" i="2"/>
  <c r="L37" i="2"/>
  <c r="G155" i="1"/>
  <c r="I155" i="1" s="1"/>
  <c r="L130" i="1"/>
  <c r="M130" i="1" s="1"/>
  <c r="S130" i="1"/>
  <c r="T130" i="1"/>
  <c r="I112" i="1"/>
  <c r="G112" i="1"/>
  <c r="X127" i="1"/>
  <c r="Y127" i="1" s="1"/>
  <c r="W127" i="1"/>
  <c r="T175" i="1"/>
  <c r="L175" i="1"/>
  <c r="M175" i="1" s="1"/>
  <c r="S175" i="1"/>
  <c r="R122" i="1"/>
  <c r="J122" i="1"/>
  <c r="Z122" i="1" s="1"/>
  <c r="U122" i="1"/>
  <c r="U135" i="1"/>
  <c r="R135" i="1"/>
  <c r="J179" i="1"/>
  <c r="Z179" i="1" s="1"/>
  <c r="I133" i="1"/>
  <c r="U133" i="1"/>
  <c r="R133" i="1"/>
  <c r="R173" i="1"/>
  <c r="I135" i="1"/>
  <c r="J162" i="1"/>
  <c r="Z162" i="1" s="1"/>
  <c r="U162" i="1"/>
  <c r="I162" i="1"/>
  <c r="R162" i="1"/>
  <c r="F120" i="1"/>
  <c r="AD169" i="1"/>
  <c r="AD166" i="1"/>
  <c r="K168" i="1"/>
  <c r="V168" i="1" s="1"/>
  <c r="X168" i="1" s="1"/>
  <c r="Y168" i="1" s="1"/>
  <c r="AA168" i="1"/>
  <c r="U182" i="1"/>
  <c r="J182" i="1"/>
  <c r="Z182" i="1" s="1"/>
  <c r="R182" i="1"/>
  <c r="R121" i="1"/>
  <c r="I172" i="1"/>
  <c r="U176" i="1"/>
  <c r="J176" i="1"/>
  <c r="Z176" i="1" s="1"/>
  <c r="I121" i="1"/>
  <c r="W129" i="1"/>
  <c r="X129" i="1"/>
  <c r="Y129" i="1" s="1"/>
  <c r="P11" i="2"/>
  <c r="Q10" i="2"/>
  <c r="J117" i="1"/>
  <c r="Z117" i="1" s="1"/>
  <c r="I117" i="1"/>
  <c r="K13" i="3"/>
  <c r="L12" i="3"/>
  <c r="N12" i="3"/>
  <c r="O12" i="3" s="1"/>
  <c r="W124" i="1"/>
  <c r="K164" i="1"/>
  <c r="V164" i="1" s="1"/>
  <c r="X164" i="1" s="1"/>
  <c r="Y164" i="1" s="1"/>
  <c r="AA164" i="1"/>
  <c r="J119" i="1"/>
  <c r="Z119" i="1" s="1"/>
  <c r="U119" i="1"/>
  <c r="R119" i="1"/>
  <c r="U11" i="3"/>
  <c r="T12" i="3"/>
  <c r="S157" i="1"/>
  <c r="T157" i="1"/>
  <c r="L157" i="1"/>
  <c r="M157" i="1" s="1"/>
  <c r="J130" i="1"/>
  <c r="Z130" i="1" s="1"/>
  <c r="U130" i="1"/>
  <c r="R130" i="1"/>
  <c r="K175" i="1"/>
  <c r="V175" i="1" s="1"/>
  <c r="X175" i="1" s="1"/>
  <c r="AA175" i="1"/>
  <c r="Y188" i="1"/>
  <c r="W188" i="1"/>
  <c r="Y110" i="1"/>
  <c r="W110" i="1"/>
  <c r="J14" i="2"/>
  <c r="I15" i="2"/>
  <c r="K137" i="1"/>
  <c r="V137" i="1" s="1"/>
  <c r="AA137" i="1"/>
  <c r="J160" i="1"/>
  <c r="Z160" i="1" s="1"/>
  <c r="R160" i="1"/>
  <c r="Y175" i="1"/>
  <c r="W175" i="1"/>
  <c r="K170" i="1"/>
  <c r="V170" i="1" s="1"/>
  <c r="AA170" i="1"/>
  <c r="E156" i="1"/>
  <c r="F156" i="1" s="1"/>
  <c r="I180" i="1"/>
  <c r="Y158" i="1"/>
  <c r="W158" i="1"/>
  <c r="R138" i="1"/>
  <c r="U138" i="1"/>
  <c r="K173" i="1"/>
  <c r="V173" i="1" s="1"/>
  <c r="X173" i="1" s="1"/>
  <c r="Y173" i="1" s="1"/>
  <c r="AA173" i="1"/>
  <c r="L158" i="1"/>
  <c r="M158" i="1" s="1"/>
  <c r="T158" i="1"/>
  <c r="S158" i="1"/>
  <c r="U171" i="1"/>
  <c r="J171" i="1"/>
  <c r="Z171" i="1" s="1"/>
  <c r="R171" i="1"/>
  <c r="W123" i="1"/>
  <c r="Y123" i="1"/>
  <c r="L137" i="1"/>
  <c r="M137" i="1" s="1"/>
  <c r="T137" i="1"/>
  <c r="S137" i="1"/>
  <c r="G134" i="1"/>
  <c r="R134" i="1" s="1"/>
  <c r="L114" i="1"/>
  <c r="M114" i="1" s="1"/>
  <c r="T114" i="1"/>
  <c r="S114" i="1"/>
  <c r="W169" i="1"/>
  <c r="Y177" i="1"/>
  <c r="I161" i="1"/>
  <c r="U172" i="1"/>
  <c r="J172" i="1"/>
  <c r="Z172" i="1" s="1"/>
  <c r="J115" i="1"/>
  <c r="Z115" i="1" s="1"/>
  <c r="U115" i="1"/>
  <c r="AD161" i="1"/>
  <c r="R115" i="1"/>
  <c r="AA128" i="1"/>
  <c r="K128" i="1"/>
  <c r="V128" i="1" s="1"/>
  <c r="X128" i="1" s="1"/>
  <c r="G161" i="1"/>
  <c r="R161" i="1" s="1"/>
  <c r="I25" i="2"/>
  <c r="J24" i="2"/>
  <c r="J181" i="1"/>
  <c r="Z181" i="1" s="1"/>
  <c r="R181" i="1"/>
  <c r="S110" i="1"/>
  <c r="L110" i="1"/>
  <c r="M110" i="1" s="1"/>
  <c r="T110" i="1"/>
  <c r="T124" i="1"/>
  <c r="S124" i="1"/>
  <c r="L124" i="1"/>
  <c r="M124" i="1" s="1"/>
  <c r="L153" i="1"/>
  <c r="M153" i="1" s="1"/>
  <c r="T153" i="1"/>
  <c r="S153" i="1"/>
  <c r="I28" i="3"/>
  <c r="H29" i="3"/>
  <c r="W132" i="1"/>
  <c r="W128" i="1"/>
  <c r="Y128" i="1"/>
  <c r="H12" i="3"/>
  <c r="I11" i="3"/>
  <c r="B11" i="2"/>
  <c r="C10" i="2"/>
  <c r="D10" i="2" s="1"/>
  <c r="G125" i="1"/>
  <c r="Q13" i="3"/>
  <c r="R12" i="3"/>
  <c r="G121" i="1"/>
  <c r="U121" i="1" s="1"/>
  <c r="G111" i="1"/>
  <c r="F21" i="3"/>
  <c r="E22" i="3"/>
  <c r="L167" i="1"/>
  <c r="M167" i="1" s="1"/>
  <c r="S167" i="1"/>
  <c r="T167" i="1"/>
  <c r="U179" i="1"/>
  <c r="R179" i="1"/>
  <c r="E154" i="1"/>
  <c r="F154" i="1" s="1"/>
  <c r="W164" i="1"/>
  <c r="AA174" i="1"/>
  <c r="K174" i="1"/>
  <c r="V174" i="1" s="1"/>
  <c r="X174" i="1" s="1"/>
  <c r="Y174" i="1" s="1"/>
  <c r="K124" i="1"/>
  <c r="V124" i="1" s="1"/>
  <c r="X124" i="1" s="1"/>
  <c r="Y124" i="1" s="1"/>
  <c r="AA124" i="1"/>
  <c r="J159" i="1"/>
  <c r="Z159" i="1" s="1"/>
  <c r="U159" i="1"/>
  <c r="R159" i="1"/>
  <c r="I159" i="1"/>
  <c r="J166" i="1"/>
  <c r="Z166" i="1" s="1"/>
  <c r="U166" i="1"/>
  <c r="I166" i="1"/>
  <c r="R178" i="1"/>
  <c r="W167" i="1"/>
  <c r="Y167" i="1"/>
  <c r="Y157" i="1"/>
  <c r="W157" i="1"/>
  <c r="T173" i="1"/>
  <c r="L173" i="1"/>
  <c r="M173" i="1" s="1"/>
  <c r="S173" i="1"/>
  <c r="K133" i="1"/>
  <c r="V133" i="1" s="1"/>
  <c r="X133" i="1" s="1"/>
  <c r="AA133" i="1"/>
  <c r="U160" i="1"/>
  <c r="T168" i="1"/>
  <c r="L168" i="1"/>
  <c r="M168" i="1" s="1"/>
  <c r="S168" i="1"/>
  <c r="AA169" i="1"/>
  <c r="K169" i="1"/>
  <c r="V169" i="1" s="1"/>
  <c r="X169" i="1" s="1"/>
  <c r="Y169" i="1" s="1"/>
  <c r="K177" i="1"/>
  <c r="V177" i="1" s="1"/>
  <c r="X177" i="1" s="1"/>
  <c r="AA177" i="1"/>
  <c r="U126" i="1"/>
  <c r="J161" i="1"/>
  <c r="Z161" i="1" s="1"/>
  <c r="U161" i="1"/>
  <c r="I165" i="1"/>
  <c r="G165" i="1"/>
  <c r="J165" i="1" s="1"/>
  <c r="Z165" i="1" s="1"/>
  <c r="I115" i="1"/>
  <c r="I122" i="1"/>
  <c r="I160" i="1"/>
  <c r="S131" i="1"/>
  <c r="L131" i="1"/>
  <c r="M131" i="1" s="1"/>
  <c r="T131" i="1"/>
  <c r="I116" i="1"/>
  <c r="B46" i="3"/>
  <c r="C45" i="3"/>
  <c r="S128" i="1"/>
  <c r="T128" i="1"/>
  <c r="L128" i="1"/>
  <c r="M128" i="1" s="1"/>
  <c r="S13" i="2"/>
  <c r="T12" i="2"/>
  <c r="Y153" i="1"/>
  <c r="W153" i="1"/>
  <c r="G178" i="1"/>
  <c r="J178" i="1" s="1"/>
  <c r="Z178" i="1" s="1"/>
  <c r="K157" i="1"/>
  <c r="V157" i="1" s="1"/>
  <c r="X157" i="1" s="1"/>
  <c r="AA157" i="1"/>
  <c r="X131" i="1"/>
  <c r="Y131" i="1" s="1"/>
  <c r="W131" i="1"/>
  <c r="I119" i="1"/>
  <c r="I181" i="1"/>
  <c r="K110" i="1"/>
  <c r="V110" i="1" s="1"/>
  <c r="X110" i="1" s="1"/>
  <c r="AA110" i="1"/>
  <c r="G14" i="2"/>
  <c r="F15" i="2"/>
  <c r="K165" i="1" l="1"/>
  <c r="V165" i="1" s="1"/>
  <c r="X165" i="1" s="1"/>
  <c r="AA165" i="1"/>
  <c r="L155" i="1"/>
  <c r="M155" i="1" s="1"/>
  <c r="T155" i="1"/>
  <c r="S155" i="1"/>
  <c r="AA178" i="1"/>
  <c r="K178" i="1"/>
  <c r="V178" i="1" s="1"/>
  <c r="X178" i="1" s="1"/>
  <c r="L182" i="1"/>
  <c r="M182" i="1" s="1"/>
  <c r="S182" i="1"/>
  <c r="T182" i="1"/>
  <c r="S181" i="1"/>
  <c r="L181" i="1"/>
  <c r="M181" i="1" s="1"/>
  <c r="T181" i="1"/>
  <c r="L116" i="1"/>
  <c r="M116" i="1" s="1"/>
  <c r="T116" i="1"/>
  <c r="S116" i="1"/>
  <c r="K166" i="1"/>
  <c r="V166" i="1" s="1"/>
  <c r="X166" i="1" s="1"/>
  <c r="AA166" i="1"/>
  <c r="E23" i="3"/>
  <c r="F22" i="3"/>
  <c r="B12" i="2"/>
  <c r="C11" i="2"/>
  <c r="D11" i="2" s="1"/>
  <c r="J25" i="2"/>
  <c r="I26" i="2"/>
  <c r="K172" i="1"/>
  <c r="V172" i="1" s="1"/>
  <c r="X172" i="1" s="1"/>
  <c r="Y172" i="1" s="1"/>
  <c r="AA172" i="1"/>
  <c r="K171" i="1"/>
  <c r="V171" i="1" s="1"/>
  <c r="X171" i="1" s="1"/>
  <c r="AA171" i="1"/>
  <c r="U134" i="1"/>
  <c r="W119" i="1"/>
  <c r="K14" i="3"/>
  <c r="L13" i="3"/>
  <c r="N13" i="3"/>
  <c r="O13" i="3" s="1"/>
  <c r="L121" i="1"/>
  <c r="M121" i="1" s="1"/>
  <c r="S121" i="1"/>
  <c r="T121" i="1"/>
  <c r="L135" i="1"/>
  <c r="M135" i="1" s="1"/>
  <c r="S135" i="1"/>
  <c r="T135" i="1"/>
  <c r="S133" i="1"/>
  <c r="L133" i="1"/>
  <c r="M133" i="1" s="1"/>
  <c r="T133" i="1"/>
  <c r="Y135" i="1"/>
  <c r="W135" i="1"/>
  <c r="U165" i="1"/>
  <c r="K116" i="1"/>
  <c r="V116" i="1" s="1"/>
  <c r="X116" i="1" s="1"/>
  <c r="AA116" i="1"/>
  <c r="S119" i="1"/>
  <c r="L119" i="1"/>
  <c r="M119" i="1" s="1"/>
  <c r="T119" i="1"/>
  <c r="T122" i="1"/>
  <c r="S122" i="1"/>
  <c r="L122" i="1"/>
  <c r="M122" i="1" s="1"/>
  <c r="U178" i="1"/>
  <c r="T159" i="1"/>
  <c r="S159" i="1"/>
  <c r="L159" i="1"/>
  <c r="M159" i="1" s="1"/>
  <c r="R13" i="3"/>
  <c r="Q14" i="3"/>
  <c r="W172" i="1"/>
  <c r="W177" i="1"/>
  <c r="I134" i="1"/>
  <c r="Y171" i="1"/>
  <c r="W171" i="1"/>
  <c r="X170" i="1"/>
  <c r="Y170" i="1" s="1"/>
  <c r="W170" i="1"/>
  <c r="J134" i="1"/>
  <c r="Z134" i="1" s="1"/>
  <c r="K160" i="1"/>
  <c r="V160" i="1" s="1"/>
  <c r="X160" i="1" s="1"/>
  <c r="AA160" i="1"/>
  <c r="X137" i="1"/>
  <c r="Y137" i="1" s="1"/>
  <c r="W137" i="1"/>
  <c r="AA130" i="1"/>
  <c r="K130" i="1"/>
  <c r="V130" i="1" s="1"/>
  <c r="X130" i="1" s="1"/>
  <c r="Y130" i="1" s="1"/>
  <c r="T13" i="3"/>
  <c r="U12" i="3"/>
  <c r="AA119" i="1"/>
  <c r="K119" i="1"/>
  <c r="V119" i="1" s="1"/>
  <c r="X119" i="1" s="1"/>
  <c r="Y119" i="1" s="1"/>
  <c r="S117" i="1"/>
  <c r="L117" i="1"/>
  <c r="M117" i="1" s="1"/>
  <c r="T117" i="1"/>
  <c r="Q11" i="2"/>
  <c r="P12" i="2"/>
  <c r="AA176" i="1"/>
  <c r="K176" i="1"/>
  <c r="V176" i="1" s="1"/>
  <c r="X176" i="1" s="1"/>
  <c r="Y176" i="1" s="1"/>
  <c r="R165" i="1"/>
  <c r="AA182" i="1"/>
  <c r="K182" i="1"/>
  <c r="V182" i="1" s="1"/>
  <c r="X182" i="1" s="1"/>
  <c r="L162" i="1"/>
  <c r="M162" i="1" s="1"/>
  <c r="T162" i="1"/>
  <c r="S162" i="1"/>
  <c r="I178" i="1"/>
  <c r="Y122" i="1"/>
  <c r="U112" i="1"/>
  <c r="R112" i="1"/>
  <c r="J112" i="1"/>
  <c r="Z112" i="1" s="1"/>
  <c r="L38" i="2"/>
  <c r="N12" i="2"/>
  <c r="N38" i="2" s="1"/>
  <c r="L13" i="2"/>
  <c r="L126" i="1"/>
  <c r="M126" i="1" s="1"/>
  <c r="S126" i="1"/>
  <c r="T126" i="1"/>
  <c r="C14" i="3"/>
  <c r="B15" i="3"/>
  <c r="J121" i="1"/>
  <c r="Z121" i="1" s="1"/>
  <c r="Y116" i="1"/>
  <c r="L160" i="1"/>
  <c r="M160" i="1" s="1"/>
  <c r="S160" i="1"/>
  <c r="T160" i="1"/>
  <c r="T13" i="2"/>
  <c r="S14" i="2"/>
  <c r="L115" i="1"/>
  <c r="M115" i="1" s="1"/>
  <c r="S115" i="1"/>
  <c r="T115" i="1"/>
  <c r="K161" i="1"/>
  <c r="V161" i="1" s="1"/>
  <c r="X161" i="1" s="1"/>
  <c r="Y161" i="1" s="1"/>
  <c r="AA161" i="1"/>
  <c r="T166" i="1"/>
  <c r="L166" i="1"/>
  <c r="M166" i="1" s="1"/>
  <c r="S166" i="1"/>
  <c r="I154" i="1"/>
  <c r="G154" i="1"/>
  <c r="J111" i="1"/>
  <c r="Z111" i="1" s="1"/>
  <c r="U111" i="1"/>
  <c r="R111" i="1"/>
  <c r="J125" i="1"/>
  <c r="Z125" i="1" s="1"/>
  <c r="U125" i="1"/>
  <c r="R125" i="1"/>
  <c r="I12" i="3"/>
  <c r="H13" i="3"/>
  <c r="I29" i="3"/>
  <c r="H30" i="3"/>
  <c r="K181" i="1"/>
  <c r="V181" i="1" s="1"/>
  <c r="AA181" i="1"/>
  <c r="W115" i="1"/>
  <c r="L161" i="1"/>
  <c r="M161" i="1" s="1"/>
  <c r="T161" i="1"/>
  <c r="S161" i="1"/>
  <c r="J15" i="2"/>
  <c r="I16" i="2"/>
  <c r="I111" i="1"/>
  <c r="K117" i="1"/>
  <c r="V117" i="1" s="1"/>
  <c r="AA117" i="1"/>
  <c r="W182" i="1"/>
  <c r="Y182" i="1"/>
  <c r="K179" i="1"/>
  <c r="V179" i="1" s="1"/>
  <c r="X179" i="1" s="1"/>
  <c r="Y179" i="1" s="1"/>
  <c r="AA179" i="1"/>
  <c r="K122" i="1"/>
  <c r="V122" i="1" s="1"/>
  <c r="X122" i="1" s="1"/>
  <c r="AA122" i="1"/>
  <c r="T112" i="1"/>
  <c r="L112" i="1"/>
  <c r="M112" i="1" s="1"/>
  <c r="S112" i="1"/>
  <c r="L176" i="1"/>
  <c r="M176" i="1" s="1"/>
  <c r="S176" i="1"/>
  <c r="T176" i="1"/>
  <c r="F16" i="2"/>
  <c r="G15" i="2"/>
  <c r="L165" i="1"/>
  <c r="M165" i="1" s="1"/>
  <c r="T165" i="1"/>
  <c r="S165" i="1"/>
  <c r="AA159" i="1"/>
  <c r="K159" i="1"/>
  <c r="V159" i="1" s="1"/>
  <c r="X159" i="1" s="1"/>
  <c r="C46" i="3"/>
  <c r="B47" i="3"/>
  <c r="W160" i="1"/>
  <c r="Y160" i="1"/>
  <c r="W166" i="1"/>
  <c r="Y166" i="1"/>
  <c r="Y159" i="1"/>
  <c r="W159" i="1"/>
  <c r="K115" i="1"/>
  <c r="V115" i="1" s="1"/>
  <c r="X115" i="1" s="1"/>
  <c r="Y115" i="1" s="1"/>
  <c r="AA115" i="1"/>
  <c r="Y138" i="1"/>
  <c r="W138" i="1"/>
  <c r="S180" i="1"/>
  <c r="T180" i="1"/>
  <c r="L180" i="1"/>
  <c r="M180" i="1" s="1"/>
  <c r="I156" i="1"/>
  <c r="G156" i="1"/>
  <c r="W168" i="1"/>
  <c r="W173" i="1"/>
  <c r="I125" i="1"/>
  <c r="L172" i="1"/>
  <c r="M172" i="1" s="1"/>
  <c r="T172" i="1"/>
  <c r="S172" i="1"/>
  <c r="W174" i="1"/>
  <c r="I120" i="1"/>
  <c r="G120" i="1"/>
  <c r="K162" i="1"/>
  <c r="V162" i="1" s="1"/>
  <c r="X162" i="1" s="1"/>
  <c r="Y162" i="1" s="1"/>
  <c r="AA162" i="1"/>
  <c r="Y133" i="1"/>
  <c r="W133" i="1"/>
  <c r="J155" i="1"/>
  <c r="Z155" i="1" s="1"/>
  <c r="R155" i="1"/>
  <c r="U155" i="1"/>
  <c r="G113" i="1"/>
  <c r="K126" i="1"/>
  <c r="V126" i="1" s="1"/>
  <c r="X126" i="1" s="1"/>
  <c r="Y126" i="1" s="1"/>
  <c r="AA126" i="1"/>
  <c r="X114" i="1"/>
  <c r="Y114" i="1" s="1"/>
  <c r="W114" i="1"/>
  <c r="AA180" i="1"/>
  <c r="K180" i="1"/>
  <c r="V180" i="1" s="1"/>
  <c r="X180" i="1" s="1"/>
  <c r="Y180" i="1" s="1"/>
  <c r="U113" i="1" l="1"/>
  <c r="J113" i="1"/>
  <c r="Z113" i="1" s="1"/>
  <c r="R113" i="1"/>
  <c r="AA155" i="1"/>
  <c r="K155" i="1"/>
  <c r="V155" i="1" s="1"/>
  <c r="X155" i="1" s="1"/>
  <c r="AA112" i="1"/>
  <c r="K112" i="1"/>
  <c r="V112" i="1" s="1"/>
  <c r="X112" i="1" s="1"/>
  <c r="W180" i="1"/>
  <c r="W165" i="1"/>
  <c r="Y165" i="1"/>
  <c r="I27" i="2"/>
  <c r="J26" i="2"/>
  <c r="I113" i="1"/>
  <c r="J120" i="1"/>
  <c r="Z120" i="1" s="1"/>
  <c r="U120" i="1"/>
  <c r="R120" i="1"/>
  <c r="X117" i="1"/>
  <c r="Y117" i="1" s="1"/>
  <c r="W117" i="1"/>
  <c r="K111" i="1"/>
  <c r="V111" i="1" s="1"/>
  <c r="X111" i="1" s="1"/>
  <c r="AA111" i="1"/>
  <c r="W116" i="1"/>
  <c r="L39" i="2"/>
  <c r="L14" i="2"/>
  <c r="N13" i="2"/>
  <c r="N39" i="2" s="1"/>
  <c r="L178" i="1"/>
  <c r="M178" i="1" s="1"/>
  <c r="S178" i="1"/>
  <c r="T178" i="1"/>
  <c r="AA134" i="1"/>
  <c r="K134" i="1"/>
  <c r="V134" i="1" s="1"/>
  <c r="X134" i="1" s="1"/>
  <c r="W161" i="1"/>
  <c r="W130" i="1"/>
  <c r="E24" i="3"/>
  <c r="F23" i="3"/>
  <c r="I30" i="3"/>
  <c r="H31" i="3"/>
  <c r="I31" i="3" s="1"/>
  <c r="Y111" i="1"/>
  <c r="W111" i="1"/>
  <c r="T14" i="2"/>
  <c r="S15" i="2"/>
  <c r="C15" i="3"/>
  <c r="B16" i="3"/>
  <c r="Y155" i="1"/>
  <c r="W155" i="1"/>
  <c r="S120" i="1"/>
  <c r="L120" i="1"/>
  <c r="M120" i="1" s="1"/>
  <c r="T120" i="1"/>
  <c r="U156" i="1"/>
  <c r="J156" i="1"/>
  <c r="Z156" i="1" s="1"/>
  <c r="R156" i="1"/>
  <c r="W126" i="1"/>
  <c r="W162" i="1"/>
  <c r="W176" i="1"/>
  <c r="S111" i="1"/>
  <c r="T111" i="1"/>
  <c r="L111" i="1"/>
  <c r="M111" i="1" s="1"/>
  <c r="I13" i="3"/>
  <c r="H14" i="3"/>
  <c r="K125" i="1"/>
  <c r="V125" i="1" s="1"/>
  <c r="X125" i="1" s="1"/>
  <c r="Y125" i="1" s="1"/>
  <c r="AA125" i="1"/>
  <c r="U154" i="1"/>
  <c r="J154" i="1"/>
  <c r="Z154" i="1" s="1"/>
  <c r="R154" i="1"/>
  <c r="Y112" i="1"/>
  <c r="W112" i="1"/>
  <c r="P13" i="2"/>
  <c r="Q12" i="2"/>
  <c r="U13" i="3"/>
  <c r="T14" i="3"/>
  <c r="L134" i="1"/>
  <c r="M134" i="1" s="1"/>
  <c r="T134" i="1"/>
  <c r="S134" i="1"/>
  <c r="R14" i="3"/>
  <c r="Q15" i="3"/>
  <c r="N14" i="3"/>
  <c r="O14" i="3" s="1"/>
  <c r="L14" i="3"/>
  <c r="K15" i="3"/>
  <c r="W179" i="1"/>
  <c r="T125" i="1"/>
  <c r="L125" i="1"/>
  <c r="M125" i="1" s="1"/>
  <c r="S125" i="1"/>
  <c r="L156" i="1"/>
  <c r="M156" i="1" s="1"/>
  <c r="T156" i="1"/>
  <c r="S156" i="1"/>
  <c r="C47" i="3"/>
  <c r="B48" i="3"/>
  <c r="F17" i="2"/>
  <c r="G16" i="2"/>
  <c r="J16" i="2"/>
  <c r="I17" i="2"/>
  <c r="X181" i="1"/>
  <c r="Y181" i="1" s="1"/>
  <c r="W181" i="1"/>
  <c r="L154" i="1"/>
  <c r="M154" i="1" s="1"/>
  <c r="S154" i="1"/>
  <c r="T154" i="1"/>
  <c r="AA121" i="1"/>
  <c r="K121" i="1"/>
  <c r="V121" i="1" s="1"/>
  <c r="W122" i="1"/>
  <c r="W178" i="1"/>
  <c r="Y178" i="1"/>
  <c r="W134" i="1"/>
  <c r="Y134" i="1"/>
  <c r="C12" i="2"/>
  <c r="D12" i="2" s="1"/>
  <c r="B13" i="2"/>
  <c r="I18" i="2" l="1"/>
  <c r="J17" i="2"/>
  <c r="B49" i="3"/>
  <c r="C48" i="3"/>
  <c r="R15" i="3"/>
  <c r="Q16" i="3"/>
  <c r="P14" i="2"/>
  <c r="Q13" i="2"/>
  <c r="AA154" i="1"/>
  <c r="K154" i="1"/>
  <c r="V154" i="1" s="1"/>
  <c r="X154" i="1" s="1"/>
  <c r="H15" i="3"/>
  <c r="I14" i="3"/>
  <c r="C16" i="3"/>
  <c r="B17" i="3"/>
  <c r="W125" i="1"/>
  <c r="W120" i="1"/>
  <c r="Y120" i="1"/>
  <c r="J27" i="2"/>
  <c r="I28" i="2"/>
  <c r="F18" i="2"/>
  <c r="G17" i="2"/>
  <c r="X121" i="1"/>
  <c r="Y121" i="1" s="1"/>
  <c r="W121" i="1"/>
  <c r="N15" i="3"/>
  <c r="O15" i="3" s="1"/>
  <c r="L15" i="3"/>
  <c r="K16" i="3"/>
  <c r="U14" i="3"/>
  <c r="T15" i="3"/>
  <c r="W154" i="1"/>
  <c r="Y154" i="1"/>
  <c r="AA156" i="1"/>
  <c r="K156" i="1"/>
  <c r="V156" i="1" s="1"/>
  <c r="X156" i="1" s="1"/>
  <c r="F24" i="3"/>
  <c r="E25" i="3"/>
  <c r="K120" i="1"/>
  <c r="V120" i="1" s="1"/>
  <c r="X120" i="1" s="1"/>
  <c r="AA120" i="1"/>
  <c r="AA113" i="1"/>
  <c r="K113" i="1"/>
  <c r="V113" i="1" s="1"/>
  <c r="X113" i="1" s="1"/>
  <c r="C13" i="2"/>
  <c r="D13" i="2" s="1"/>
  <c r="B14" i="2"/>
  <c r="W156" i="1"/>
  <c r="Y156" i="1"/>
  <c r="T15" i="2"/>
  <c r="S16" i="2"/>
  <c r="L15" i="2"/>
  <c r="L40" i="2"/>
  <c r="N14" i="2"/>
  <c r="N40" i="2" s="1"/>
  <c r="L113" i="1"/>
  <c r="M113" i="1" s="1"/>
  <c r="S113" i="1"/>
  <c r="T113" i="1"/>
  <c r="Y113" i="1"/>
  <c r="W113" i="1"/>
  <c r="T16" i="2" l="1"/>
  <c r="S17" i="2"/>
  <c r="B15" i="2"/>
  <c r="C14" i="2"/>
  <c r="D14" i="2" s="1"/>
  <c r="U15" i="3"/>
  <c r="T16" i="3"/>
  <c r="F19" i="2"/>
  <c r="G18" i="2"/>
  <c r="J28" i="2"/>
  <c r="I29" i="2"/>
  <c r="H16" i="3"/>
  <c r="I15" i="3"/>
  <c r="Q14" i="2"/>
  <c r="P15" i="2"/>
  <c r="C49" i="3"/>
  <c r="B50" i="3"/>
  <c r="F25" i="3"/>
  <c r="E26" i="3"/>
  <c r="F26" i="3" s="1"/>
  <c r="N16" i="3"/>
  <c r="O16" i="3" s="1"/>
  <c r="L16" i="3"/>
  <c r="K17" i="3"/>
  <c r="C17" i="3"/>
  <c r="B18" i="3"/>
  <c r="R16" i="3"/>
  <c r="Q17" i="3"/>
  <c r="N15" i="2"/>
  <c r="N41" i="2" s="1"/>
  <c r="L41" i="2"/>
  <c r="L16" i="2"/>
  <c r="J18" i="2"/>
  <c r="I19" i="2"/>
  <c r="J19" i="2" s="1"/>
  <c r="L17" i="3" l="1"/>
  <c r="N17" i="3"/>
  <c r="O17" i="3" s="1"/>
  <c r="K18" i="3"/>
  <c r="L17" i="2"/>
  <c r="L42" i="2"/>
  <c r="N16" i="2"/>
  <c r="N42" i="2" s="1"/>
  <c r="B51" i="3"/>
  <c r="C51" i="3" s="1"/>
  <c r="C50" i="3"/>
  <c r="B19" i="3"/>
  <c r="C18" i="3"/>
  <c r="H17" i="3"/>
  <c r="I16" i="3"/>
  <c r="F20" i="2"/>
  <c r="G19" i="2"/>
  <c r="B16" i="2"/>
  <c r="C15" i="2"/>
  <c r="D15" i="2" s="1"/>
  <c r="Q15" i="2"/>
  <c r="P16" i="2"/>
  <c r="I30" i="2"/>
  <c r="J30" i="2" s="1"/>
  <c r="J29" i="2"/>
  <c r="T17" i="3"/>
  <c r="U16" i="3"/>
  <c r="S18" i="2"/>
  <c r="T17" i="2"/>
  <c r="Q18" i="3"/>
  <c r="R17" i="3"/>
  <c r="Q16" i="2" l="1"/>
  <c r="P17" i="2"/>
  <c r="R18" i="3"/>
  <c r="Q19" i="3"/>
  <c r="N17" i="2"/>
  <c r="N43" i="2" s="1"/>
  <c r="L18" i="2"/>
  <c r="L43" i="2"/>
  <c r="T18" i="2"/>
  <c r="S19" i="2"/>
  <c r="C16" i="2"/>
  <c r="D16" i="2" s="1"/>
  <c r="B17" i="2"/>
  <c r="H18" i="3"/>
  <c r="I17" i="3"/>
  <c r="K19" i="3"/>
  <c r="N18" i="3"/>
  <c r="O18" i="3" s="1"/>
  <c r="L18" i="3"/>
  <c r="U17" i="3"/>
  <c r="T18" i="3"/>
  <c r="G20" i="2"/>
  <c r="F21" i="2"/>
  <c r="C19" i="3"/>
  <c r="B20" i="3"/>
  <c r="B21" i="3" l="1"/>
  <c r="C20" i="3"/>
  <c r="S20" i="2"/>
  <c r="T19" i="2"/>
  <c r="F22" i="2"/>
  <c r="G21" i="2"/>
  <c r="H19" i="3"/>
  <c r="I18" i="3"/>
  <c r="Q20" i="3"/>
  <c r="R19" i="3"/>
  <c r="B18" i="2"/>
  <c r="C17" i="2"/>
  <c r="D17" i="2" s="1"/>
  <c r="U18" i="3"/>
  <c r="T19" i="3"/>
  <c r="L19" i="3"/>
  <c r="K20" i="3"/>
  <c r="N19" i="3"/>
  <c r="O19" i="3" s="1"/>
  <c r="N18" i="2"/>
  <c r="N44" i="2" s="1"/>
  <c r="L19" i="2"/>
  <c r="L44" i="2"/>
  <c r="P18" i="2"/>
  <c r="Q17" i="2"/>
  <c r="N20" i="3" l="1"/>
  <c r="O20" i="3" s="1"/>
  <c r="L20" i="3"/>
  <c r="K21" i="3"/>
  <c r="L20" i="2"/>
  <c r="L45" i="2"/>
  <c r="N19" i="2"/>
  <c r="N45" i="2" s="1"/>
  <c r="C18" i="2"/>
  <c r="D18" i="2" s="1"/>
  <c r="B19" i="2"/>
  <c r="H20" i="3"/>
  <c r="I19" i="3"/>
  <c r="S21" i="2"/>
  <c r="T20" i="2"/>
  <c r="U19" i="3"/>
  <c r="T20" i="3"/>
  <c r="Q18" i="2"/>
  <c r="P19" i="2"/>
  <c r="Q21" i="3"/>
  <c r="R20" i="3"/>
  <c r="F23" i="2"/>
  <c r="G22" i="2"/>
  <c r="C21" i="3"/>
  <c r="B22" i="3"/>
  <c r="B23" i="3" l="1"/>
  <c r="C22" i="3"/>
  <c r="R21" i="3"/>
  <c r="Q22" i="3"/>
  <c r="Q19" i="2"/>
  <c r="P20" i="2"/>
  <c r="B20" i="2"/>
  <c r="C19" i="2"/>
  <c r="D19" i="2" s="1"/>
  <c r="N20" i="2"/>
  <c r="N46" i="2" s="1"/>
  <c r="L46" i="2"/>
  <c r="L21" i="2"/>
  <c r="G23" i="2"/>
  <c r="F24" i="2"/>
  <c r="S22" i="2"/>
  <c r="T21" i="2"/>
  <c r="K22" i="3"/>
  <c r="L21" i="3"/>
  <c r="N21" i="3"/>
  <c r="O21" i="3" s="1"/>
  <c r="T21" i="3"/>
  <c r="U20" i="3"/>
  <c r="I20" i="3"/>
  <c r="H21" i="3"/>
  <c r="T22" i="2" l="1"/>
  <c r="S23" i="2"/>
  <c r="F25" i="2"/>
  <c r="G25" i="2" s="1"/>
  <c r="G24" i="2"/>
  <c r="N22" i="3"/>
  <c r="O22" i="3" s="1"/>
  <c r="L22" i="3"/>
  <c r="K23" i="3"/>
  <c r="R22" i="3"/>
  <c r="Q23" i="3"/>
  <c r="T22" i="3"/>
  <c r="U21" i="3"/>
  <c r="L47" i="2"/>
  <c r="L22" i="2"/>
  <c r="N21" i="2"/>
  <c r="N47" i="2" s="1"/>
  <c r="C20" i="2"/>
  <c r="D20" i="2" s="1"/>
  <c r="B21" i="2"/>
  <c r="H22" i="3"/>
  <c r="I21" i="3"/>
  <c r="P21" i="2"/>
  <c r="Q20" i="2"/>
  <c r="B24" i="3"/>
  <c r="C23" i="3"/>
  <c r="H23" i="3" l="1"/>
  <c r="I23" i="3" s="1"/>
  <c r="I22" i="3"/>
  <c r="L23" i="2"/>
  <c r="N22" i="2"/>
  <c r="N48" i="2" s="1"/>
  <c r="L48" i="2"/>
  <c r="Q24" i="3"/>
  <c r="R23" i="3"/>
  <c r="B22" i="2"/>
  <c r="C21" i="2"/>
  <c r="D21" i="2" s="1"/>
  <c r="Q21" i="2"/>
  <c r="P22" i="2"/>
  <c r="L23" i="3"/>
  <c r="N23" i="3"/>
  <c r="O23" i="3" s="1"/>
  <c r="K24" i="3"/>
  <c r="U22" i="3"/>
  <c r="T23" i="3"/>
  <c r="S24" i="2"/>
  <c r="T23" i="2"/>
  <c r="B25" i="3"/>
  <c r="C24" i="3"/>
  <c r="T24" i="3" l="1"/>
  <c r="U23" i="3"/>
  <c r="B23" i="2"/>
  <c r="C22" i="2"/>
  <c r="D22" i="2" s="1"/>
  <c r="B26" i="3"/>
  <c r="C25" i="3"/>
  <c r="P23" i="2"/>
  <c r="Q22" i="2"/>
  <c r="L24" i="2"/>
  <c r="N23" i="2"/>
  <c r="N49" i="2" s="1"/>
  <c r="L49" i="2"/>
  <c r="L24" i="3"/>
  <c r="N24" i="3"/>
  <c r="O24" i="3" s="1"/>
  <c r="K25" i="3"/>
  <c r="R24" i="3"/>
  <c r="Q25" i="3"/>
  <c r="T24" i="2"/>
  <c r="S25" i="2"/>
  <c r="S26" i="2" l="1"/>
  <c r="T25" i="2"/>
  <c r="N25" i="3"/>
  <c r="O25" i="3" s="1"/>
  <c r="K26" i="3"/>
  <c r="L25" i="3"/>
  <c r="N24" i="2"/>
  <c r="N50" i="2" s="1"/>
  <c r="L50" i="2"/>
  <c r="L25" i="2"/>
  <c r="Q26" i="3"/>
  <c r="R25" i="3"/>
  <c r="P24" i="2"/>
  <c r="Q23" i="2"/>
  <c r="B24" i="2"/>
  <c r="C23" i="2"/>
  <c r="D23" i="2" s="1"/>
  <c r="C26" i="3"/>
  <c r="B27" i="3"/>
  <c r="U24" i="3"/>
  <c r="T25" i="3"/>
  <c r="U25" i="3" l="1"/>
  <c r="T26" i="3"/>
  <c r="C24" i="2"/>
  <c r="D24" i="2" s="1"/>
  <c r="B25" i="2"/>
  <c r="Q27" i="3"/>
  <c r="R26" i="3"/>
  <c r="C27" i="3"/>
  <c r="B28" i="3"/>
  <c r="L51" i="2"/>
  <c r="N25" i="2"/>
  <c r="N51" i="2" s="1"/>
  <c r="L26" i="2"/>
  <c r="L26" i="3"/>
  <c r="K27" i="3"/>
  <c r="N26" i="3"/>
  <c r="O26" i="3" s="1"/>
  <c r="P25" i="2"/>
  <c r="Q24" i="2"/>
  <c r="S27" i="2"/>
  <c r="T26" i="2"/>
  <c r="T27" i="2" l="1"/>
  <c r="S28" i="2"/>
  <c r="B29" i="3"/>
  <c r="C28" i="3"/>
  <c r="B26" i="2"/>
  <c r="C25" i="2"/>
  <c r="D25" i="2" s="1"/>
  <c r="P26" i="2"/>
  <c r="Q25" i="2"/>
  <c r="L52" i="2"/>
  <c r="N26" i="2"/>
  <c r="N52" i="2" s="1"/>
  <c r="L27" i="2"/>
  <c r="U26" i="3"/>
  <c r="T27" i="3"/>
  <c r="N27" i="3"/>
  <c r="O27" i="3" s="1"/>
  <c r="K28" i="3"/>
  <c r="L27" i="3"/>
  <c r="Q28" i="3"/>
  <c r="R27" i="3"/>
  <c r="Q29" i="3" l="1"/>
  <c r="R28" i="3"/>
  <c r="T28" i="3"/>
  <c r="U27" i="3"/>
  <c r="B27" i="2"/>
  <c r="C26" i="2"/>
  <c r="D26" i="2" s="1"/>
  <c r="L28" i="3"/>
  <c r="N28" i="3"/>
  <c r="O28" i="3" s="1"/>
  <c r="K29" i="3"/>
  <c r="L28" i="2"/>
  <c r="L53" i="2"/>
  <c r="N27" i="2"/>
  <c r="N53" i="2" s="1"/>
  <c r="P27" i="2"/>
  <c r="Q26" i="2"/>
  <c r="B30" i="3"/>
  <c r="C29" i="3"/>
  <c r="T28" i="2"/>
  <c r="S29" i="2"/>
  <c r="Q27" i="2" l="1"/>
  <c r="P28" i="2"/>
  <c r="C30" i="3"/>
  <c r="B31" i="3"/>
  <c r="T29" i="3"/>
  <c r="U28" i="3"/>
  <c r="T29" i="2"/>
  <c r="S30" i="2"/>
  <c r="L54" i="2"/>
  <c r="N28" i="2"/>
  <c r="N54" i="2" s="1"/>
  <c r="K30" i="3"/>
  <c r="L29" i="3"/>
  <c r="N29" i="3"/>
  <c r="O29" i="3" s="1"/>
  <c r="B28" i="2"/>
  <c r="C27" i="2"/>
  <c r="D27" i="2" s="1"/>
  <c r="R29" i="3"/>
  <c r="Q30" i="3"/>
  <c r="C28" i="2" l="1"/>
  <c r="D28" i="2" s="1"/>
  <c r="B29" i="2"/>
  <c r="Q31" i="3"/>
  <c r="R30" i="3"/>
  <c r="S32" i="2"/>
  <c r="T30" i="2"/>
  <c r="B32" i="3"/>
  <c r="C31" i="3"/>
  <c r="N30" i="3"/>
  <c r="O30" i="3" s="1"/>
  <c r="K31" i="3"/>
  <c r="L30" i="3"/>
  <c r="Q28" i="2"/>
  <c r="P29" i="2"/>
  <c r="T30" i="3"/>
  <c r="U29" i="3"/>
  <c r="U30" i="3" l="1"/>
  <c r="T31" i="3"/>
  <c r="S33" i="2"/>
  <c r="T32" i="2"/>
  <c r="B33" i="3"/>
  <c r="C32" i="3"/>
  <c r="Q32" i="3"/>
  <c r="R31" i="3"/>
  <c r="N31" i="3"/>
  <c r="O31" i="3" s="1"/>
  <c r="L31" i="3"/>
  <c r="K32" i="3"/>
  <c r="C29" i="2"/>
  <c r="D29" i="2" s="1"/>
  <c r="B30" i="2"/>
  <c r="P30" i="2"/>
  <c r="Q29" i="2"/>
  <c r="Q30" i="2" l="1"/>
  <c r="P32" i="2"/>
  <c r="C30" i="2"/>
  <c r="D30" i="2" s="1"/>
  <c r="B32" i="2"/>
  <c r="C33" i="3"/>
  <c r="B34" i="3"/>
  <c r="N32" i="3"/>
  <c r="O32" i="3" s="1"/>
  <c r="L32" i="3"/>
  <c r="K33" i="3"/>
  <c r="Q33" i="3"/>
  <c r="R32" i="3"/>
  <c r="T33" i="2"/>
  <c r="S34" i="2"/>
  <c r="U31" i="3"/>
  <c r="T32" i="3"/>
  <c r="L33" i="3" l="1"/>
  <c r="N33" i="3"/>
  <c r="O33" i="3" s="1"/>
  <c r="K34" i="3"/>
  <c r="C32" i="2"/>
  <c r="D32" i="2" s="1"/>
  <c r="B33" i="2"/>
  <c r="U32" i="3"/>
  <c r="T33" i="3"/>
  <c r="R33" i="3"/>
  <c r="Q34" i="3"/>
  <c r="B35" i="3"/>
  <c r="C34" i="3"/>
  <c r="P33" i="2"/>
  <c r="Q32" i="2"/>
  <c r="S35" i="2"/>
  <c r="T34" i="2"/>
  <c r="B36" i="3" l="1"/>
  <c r="C35" i="3"/>
  <c r="R34" i="3"/>
  <c r="Q35" i="3"/>
  <c r="C33" i="2"/>
  <c r="D33" i="2" s="1"/>
  <c r="B34" i="2"/>
  <c r="P34" i="2"/>
  <c r="Q33" i="2"/>
  <c r="U33" i="3"/>
  <c r="T34" i="3"/>
  <c r="N34" i="3"/>
  <c r="O34" i="3" s="1"/>
  <c r="L34" i="3"/>
  <c r="K35" i="3"/>
  <c r="S36" i="2"/>
  <c r="T35" i="2"/>
  <c r="T36" i="2" l="1"/>
  <c r="S37" i="2"/>
  <c r="U34" i="3"/>
  <c r="T35" i="3"/>
  <c r="N35" i="3"/>
  <c r="O35" i="3" s="1"/>
  <c r="L35" i="3"/>
  <c r="K36" i="3"/>
  <c r="Q36" i="3"/>
  <c r="R35" i="3"/>
  <c r="Q34" i="2"/>
  <c r="P35" i="2"/>
  <c r="C34" i="2"/>
  <c r="D34" i="2" s="1"/>
  <c r="B35" i="2"/>
  <c r="C36" i="3"/>
  <c r="B37" i="3"/>
  <c r="C35" i="2" l="1"/>
  <c r="D35" i="2" s="1"/>
  <c r="B36" i="2"/>
  <c r="Q37" i="3"/>
  <c r="R36" i="3"/>
  <c r="U35" i="3"/>
  <c r="T36" i="3"/>
  <c r="C37" i="3"/>
  <c r="B38" i="3"/>
  <c r="Q35" i="2"/>
  <c r="P36" i="2"/>
  <c r="N36" i="3"/>
  <c r="O36" i="3" s="1"/>
  <c r="K37" i="3"/>
  <c r="L36" i="3"/>
  <c r="S38" i="2"/>
  <c r="T37" i="2"/>
  <c r="T38" i="2" l="1"/>
  <c r="S39" i="2"/>
  <c r="K38" i="3"/>
  <c r="N37" i="3"/>
  <c r="O37" i="3" s="1"/>
  <c r="L37" i="3"/>
  <c r="C38" i="3"/>
  <c r="B39" i="3"/>
  <c r="R37" i="3"/>
  <c r="Q38" i="3"/>
  <c r="P37" i="2"/>
  <c r="Q36" i="2"/>
  <c r="T37" i="3"/>
  <c r="U36" i="3"/>
  <c r="C36" i="2"/>
  <c r="D36" i="2" s="1"/>
  <c r="B37" i="2"/>
  <c r="Q37" i="2" l="1"/>
  <c r="P38" i="2"/>
  <c r="Q38" i="2" s="1"/>
  <c r="U37" i="3"/>
  <c r="T38" i="3"/>
  <c r="C37" i="2"/>
  <c r="D37" i="2" s="1"/>
  <c r="B38" i="2"/>
  <c r="B40" i="3"/>
  <c r="C40" i="3" s="1"/>
  <c r="C39" i="3"/>
  <c r="L38" i="3"/>
  <c r="N38" i="3"/>
  <c r="O38" i="3" s="1"/>
  <c r="K39" i="3"/>
  <c r="T39" i="2"/>
  <c r="S40" i="2"/>
  <c r="R38" i="3"/>
  <c r="Q39" i="3"/>
  <c r="T39" i="3" l="1"/>
  <c r="U38" i="3"/>
  <c r="K40" i="3"/>
  <c r="L39" i="3"/>
  <c r="R39" i="3"/>
  <c r="Q40" i="3"/>
  <c r="C38" i="2"/>
  <c r="D38" i="2" s="1"/>
  <c r="B39" i="2"/>
  <c r="S41" i="2"/>
  <c r="T40" i="2"/>
  <c r="K41" i="3" l="1"/>
  <c r="L40" i="3"/>
  <c r="B40" i="2"/>
  <c r="C39" i="2"/>
  <c r="D39" i="2" s="1"/>
  <c r="Q41" i="3"/>
  <c r="R40" i="3"/>
  <c r="S42" i="2"/>
  <c r="T41" i="2"/>
  <c r="U39" i="3"/>
  <c r="T40" i="3"/>
  <c r="R41" i="3" l="1"/>
  <c r="Q42" i="3"/>
  <c r="R42" i="3" s="1"/>
  <c r="S43" i="2"/>
  <c r="T42" i="2"/>
  <c r="B41" i="2"/>
  <c r="C40" i="2"/>
  <c r="D40" i="2" s="1"/>
  <c r="U40" i="3"/>
  <c r="T41" i="3"/>
  <c r="K42" i="3"/>
  <c r="L41" i="3"/>
  <c r="K43" i="3" l="1"/>
  <c r="L42" i="3"/>
  <c r="B42" i="2"/>
  <c r="C41" i="2"/>
  <c r="D41" i="2" s="1"/>
  <c r="U41" i="3"/>
  <c r="T42" i="3"/>
  <c r="S44" i="2"/>
  <c r="T43" i="2"/>
  <c r="T43" i="3" l="1"/>
  <c r="U42" i="3"/>
  <c r="S45" i="2"/>
  <c r="T44" i="2"/>
  <c r="C42" i="2"/>
  <c r="D42" i="2" s="1"/>
  <c r="B43" i="2"/>
  <c r="L43" i="3"/>
  <c r="K44" i="3"/>
  <c r="B44" i="2" l="1"/>
  <c r="C43" i="2"/>
  <c r="D43" i="2" s="1"/>
  <c r="L44" i="3"/>
  <c r="K45" i="3"/>
  <c r="T45" i="2"/>
  <c r="S46" i="2"/>
  <c r="T44" i="3"/>
  <c r="U43" i="3"/>
  <c r="S47" i="2" l="1"/>
  <c r="T47" i="2" s="1"/>
  <c r="T46" i="2"/>
  <c r="K46" i="3"/>
  <c r="L45" i="3"/>
  <c r="T45" i="3"/>
  <c r="U44" i="3"/>
  <c r="C44" i="2"/>
  <c r="D44" i="2" s="1"/>
  <c r="B45" i="2"/>
  <c r="T46" i="3" l="1"/>
  <c r="U45" i="3"/>
  <c r="B46" i="2"/>
  <c r="C45" i="2"/>
  <c r="D45" i="2" s="1"/>
  <c r="K47" i="3"/>
  <c r="L46" i="3"/>
  <c r="K48" i="3" l="1"/>
  <c r="L47" i="3"/>
  <c r="B47" i="2"/>
  <c r="C47" i="2" s="1"/>
  <c r="D47" i="2" s="1"/>
  <c r="C46" i="2"/>
  <c r="D46" i="2" s="1"/>
  <c r="U46" i="3"/>
  <c r="T47" i="3"/>
  <c r="T48" i="3" l="1"/>
  <c r="U47" i="3"/>
  <c r="L48" i="3"/>
  <c r="K49" i="3"/>
  <c r="U48" i="3" l="1"/>
  <c r="T49" i="3"/>
  <c r="L49" i="3"/>
  <c r="K50" i="3"/>
  <c r="T50" i="3" l="1"/>
  <c r="U50" i="3" s="1"/>
  <c r="U49" i="3"/>
  <c r="L50" i="3"/>
  <c r="K51" i="3"/>
  <c r="L51" i="3" s="1"/>
</calcChain>
</file>

<file path=xl/comments1.xml><?xml version="1.0" encoding="utf-8"?>
<comments xmlns="http://schemas.openxmlformats.org/spreadsheetml/2006/main">
  <authors>
    <author>browngr</author>
  </authors>
  <commentList>
    <comment ref="I40" authorId="0">
      <text>
        <r>
          <rPr>
            <b/>
            <sz val="18"/>
            <color indexed="81"/>
            <rFont val="Tahoma"/>
            <family val="2"/>
          </rPr>
          <t>Use this number as the average fan hours per year. 
Note - the most used fans will typically do 1,500 more hours per year, than the average fans.</t>
        </r>
      </text>
    </comment>
  </commentList>
</comments>
</file>

<file path=xl/comments2.xml><?xml version="1.0" encoding="utf-8"?>
<comments xmlns="http://schemas.openxmlformats.org/spreadsheetml/2006/main">
  <authors>
    <author>REVIEWER</author>
    <author>browngr</author>
    <author>aa</author>
  </authors>
  <commentList>
    <comment ref="H6" authorId="0">
      <text>
        <r>
          <rPr>
            <b/>
            <sz val="18"/>
            <color indexed="81"/>
            <rFont val="Tahoma"/>
            <family val="2"/>
          </rPr>
          <t>Note: Some farms may be billed for kVa rather than kW.</t>
        </r>
      </text>
    </comment>
    <comment ref="H7" authorId="1">
      <text>
        <r>
          <rPr>
            <b/>
            <sz val="18"/>
            <color indexed="81"/>
            <rFont val="Tahoma"/>
            <family val="2"/>
          </rPr>
          <t>Note: Peak power demand is the network charge associated with the maximum amount of energy being drawn at any one time. If unsure if you are billed this way, leave as '0.00'.</t>
        </r>
      </text>
    </comment>
    <comment ref="H8" authorId="0">
      <text>
        <r>
          <rPr>
            <b/>
            <sz val="18"/>
            <color indexed="81"/>
            <rFont val="Tahoma"/>
            <family val="2"/>
          </rPr>
          <t xml:space="preserve">Note: Use the table in INSTRUCTIONS sheet to assist with estimating the number of yearly fan operating hours. 2,410 hours is a calculated average based on monitoring broiler sheds in NSW, QLD and VIC.
</t>
        </r>
      </text>
    </comment>
    <comment ref="C9" authorId="0">
      <text>
        <r>
          <rPr>
            <b/>
            <sz val="8"/>
            <color indexed="81"/>
            <rFont val="Tahoma"/>
            <family val="2"/>
          </rPr>
          <t xml:space="preserve">
</t>
        </r>
        <r>
          <rPr>
            <b/>
            <sz val="18"/>
            <color indexed="81"/>
            <rFont val="Tahoma"/>
            <family val="2"/>
          </rPr>
          <t>Note: if you have ceiling baffles, set the 'Ceiling Peak Height' to the height of the baffle above the shed floor.</t>
        </r>
      </text>
    </comment>
    <comment ref="C10" authorId="0">
      <text>
        <r>
          <rPr>
            <b/>
            <sz val="18"/>
            <color indexed="81"/>
            <rFont val="Tahoma"/>
            <family val="2"/>
          </rPr>
          <t>Note: Dropped ceilings are used in the United States but rarely seen in Australia. If unsure, leave as is.</t>
        </r>
      </text>
    </comment>
    <comment ref="G25" authorId="1">
      <text>
        <r>
          <rPr>
            <b/>
            <sz val="18"/>
            <color indexed="81"/>
            <rFont val="Tahoma"/>
            <family val="2"/>
          </rPr>
          <t xml:space="preserve">Note: Shed air velocity should be greater than 3.00m/s
</t>
        </r>
      </text>
    </comment>
    <comment ref="E107" authorId="0">
      <text>
        <r>
          <rPr>
            <b/>
            <sz val="18"/>
            <color indexed="81"/>
            <rFont val="Tahoma"/>
            <family val="2"/>
          </rPr>
          <t>This is the pressure at the fans, so will usually be greater than the shed static pressure</t>
        </r>
      </text>
    </comment>
    <comment ref="J107" authorId="0">
      <text>
        <r>
          <rPr>
            <b/>
            <sz val="18"/>
            <color indexed="81"/>
            <rFont val="Tahoma"/>
            <family val="2"/>
          </rPr>
          <t>Note: if calculating peak power load, you may need to use the power consumption at higher static pressure - refer to your fan test report</t>
        </r>
      </text>
    </comment>
    <comment ref="R108" authorId="2">
      <text>
        <r>
          <rPr>
            <sz val="18"/>
            <color indexed="81"/>
            <rFont val="Tahoma"/>
            <family val="2"/>
          </rPr>
          <t xml:space="preserve">Based on </t>
        </r>
        <r>
          <rPr>
            <i/>
            <sz val="18"/>
            <color indexed="81"/>
            <rFont val="Tahoma"/>
            <family val="2"/>
          </rPr>
          <t xml:space="preserve">Poultry Housing Tips—Pad System Cooling, Installation and Management. </t>
        </r>
        <r>
          <rPr>
            <sz val="18"/>
            <color indexed="81"/>
            <rFont val="Tahoma"/>
            <family val="2"/>
          </rPr>
          <t>(July 2001, vol. 13 No.8 — 1m² per 6858 m³/hr</t>
        </r>
      </text>
    </comment>
    <comment ref="S108" authorId="2">
      <text>
        <r>
          <rPr>
            <sz val="18"/>
            <color indexed="81"/>
            <rFont val="Tahoma"/>
            <family val="2"/>
          </rPr>
          <t xml:space="preserve">Based on </t>
        </r>
        <r>
          <rPr>
            <i/>
            <sz val="18"/>
            <color indexed="81"/>
            <rFont val="Tahoma"/>
            <family val="2"/>
          </rPr>
          <t>Poultry Housing Tips—Six-inch pad system water usage and pipe sizing</t>
        </r>
        <r>
          <rPr>
            <sz val="18"/>
            <color indexed="81"/>
            <rFont val="Tahoma"/>
            <family val="2"/>
          </rPr>
          <t xml:space="preserve">. (June 2006, vol. 18 No.6
</t>
        </r>
      </text>
    </comment>
    <comment ref="Z108" authorId="1">
      <text>
        <r>
          <rPr>
            <b/>
            <sz val="18"/>
            <color indexed="81"/>
            <rFont val="Tahoma"/>
            <family val="2"/>
          </rPr>
          <t>Based on hitting peak load once per batch</t>
        </r>
      </text>
    </comment>
    <comment ref="E151" authorId="0">
      <text>
        <r>
          <rPr>
            <b/>
            <sz val="18"/>
            <color indexed="81"/>
            <rFont val="Tahoma"/>
            <family val="2"/>
          </rPr>
          <t>This is the pressure at the fans, so will usually be greater than the shed static pressure</t>
        </r>
      </text>
    </comment>
    <comment ref="J151" authorId="0">
      <text>
        <r>
          <rPr>
            <b/>
            <sz val="18"/>
            <color indexed="81"/>
            <rFont val="Tahoma"/>
            <family val="2"/>
          </rPr>
          <t>Note: if calculating peak power load, you may need to use the power consumption at higher static pressure - refer to your fan test report</t>
        </r>
      </text>
    </comment>
    <comment ref="R152" authorId="2">
      <text>
        <r>
          <rPr>
            <sz val="18"/>
            <color indexed="81"/>
            <rFont val="Tahoma"/>
            <family val="2"/>
          </rPr>
          <t xml:space="preserve">Based on </t>
        </r>
        <r>
          <rPr>
            <i/>
            <sz val="18"/>
            <color indexed="81"/>
            <rFont val="Tahoma"/>
            <family val="2"/>
          </rPr>
          <t xml:space="preserve">Poultry Housing Tips—Pad System Cooling, Installation and Management. </t>
        </r>
        <r>
          <rPr>
            <sz val="18"/>
            <color indexed="81"/>
            <rFont val="Tahoma"/>
            <family val="2"/>
          </rPr>
          <t>(July 2001, vol. 13 No.8 — 1m² per 6858 m³/hr</t>
        </r>
      </text>
    </comment>
    <comment ref="S152" authorId="2">
      <text>
        <r>
          <rPr>
            <sz val="18"/>
            <color indexed="81"/>
            <rFont val="Tahoma"/>
            <family val="2"/>
          </rPr>
          <t xml:space="preserve">Based on </t>
        </r>
        <r>
          <rPr>
            <i/>
            <sz val="18"/>
            <color indexed="81"/>
            <rFont val="Tahoma"/>
            <family val="2"/>
          </rPr>
          <t>Poultry Housing Tips—Six-inch pad system water usage and pipe sizing</t>
        </r>
        <r>
          <rPr>
            <sz val="18"/>
            <color indexed="81"/>
            <rFont val="Tahoma"/>
            <family val="2"/>
          </rPr>
          <t xml:space="preserve">. (June 2006, vol. 18 No.6
</t>
        </r>
      </text>
    </comment>
    <comment ref="Z152" authorId="1">
      <text>
        <r>
          <rPr>
            <b/>
            <sz val="18"/>
            <color indexed="81"/>
            <rFont val="Tahoma"/>
            <family val="2"/>
          </rPr>
          <t>Based on hitting peak load once per batch</t>
        </r>
      </text>
    </comment>
  </commentList>
</comments>
</file>

<file path=xl/sharedStrings.xml><?xml version="1.0" encoding="utf-8"?>
<sst xmlns="http://schemas.openxmlformats.org/spreadsheetml/2006/main" count="312" uniqueCount="211">
  <si>
    <t>Energy Eff.</t>
  </si>
  <si>
    <t>Pressure</t>
  </si>
  <si>
    <t>Rating</t>
  </si>
  <si>
    <t>velocity check</t>
  </si>
  <si>
    <t>Tunnel Fan Model</t>
  </si>
  <si>
    <t>Energy Efficiency</t>
  </si>
  <si>
    <t>Price of Fan</t>
  </si>
  <si>
    <t>Model #</t>
  </si>
  <si>
    <t>Design static</t>
  </si>
  <si>
    <t>Tunnel Fan</t>
  </si>
  <si>
    <t>Number of fans</t>
  </si>
  <si>
    <t xml:space="preserve">Total air moving capacity </t>
  </si>
  <si>
    <t>Total fan operating</t>
  </si>
  <si>
    <t>pressure</t>
  </si>
  <si>
    <t>capacity</t>
  </si>
  <si>
    <t>required *</t>
  </si>
  <si>
    <t>at design static pressure</t>
  </si>
  <si>
    <t>(all fans operating)</t>
  </si>
  <si>
    <t>Total Pad Area</t>
  </si>
  <si>
    <t>Pad water usage</t>
  </si>
  <si>
    <t>Five Year</t>
  </si>
  <si>
    <t>Ten Year</t>
  </si>
  <si>
    <t>Estimated Yearly Operating Hours per fan =</t>
  </si>
  <si>
    <t>o</t>
  </si>
  <si>
    <t>Minimum Design Air Velocity (m/s) =</t>
  </si>
  <si>
    <t>House Length (m) =</t>
  </si>
  <si>
    <t>House Width (m) =</t>
  </si>
  <si>
    <t>Side Wall Height (m) =</t>
  </si>
  <si>
    <t>Ceiling Peak Height (m) =</t>
  </si>
  <si>
    <t>Open/Dropped Ceiling (o/d) (m) =</t>
  </si>
  <si>
    <t>(minimum for
150mm thick pad)</t>
  </si>
  <si>
    <t>(32.2°C - 50% Rh)</t>
  </si>
  <si>
    <t>(37.8°C - 20 % Rh)</t>
  </si>
  <si>
    <t xml:space="preserve">Airflow for Evap </t>
  </si>
  <si>
    <t>cooling Calcs</t>
  </si>
  <si>
    <t>Munters Euroemme EM50 - 1.5hp</t>
  </si>
  <si>
    <t>Maximum hours (on average) per fan per year</t>
  </si>
  <si>
    <t>Minimum hours (on average) per fan per year</t>
  </si>
  <si>
    <t>Calculator to assist with the prediction of fan hours based on fan monitoring data collected in Australia</t>
  </si>
  <si>
    <t>Calculated number of production days per year</t>
  </si>
  <si>
    <t>EVAPORATIVE COOLING PAD REQUIREMENTS</t>
  </si>
  <si>
    <t>TOTAL FAN RUNNING COSTS PER SHED</t>
  </si>
  <si>
    <t>Purchase cost</t>
  </si>
  <si>
    <t>Electricity</t>
  </si>
  <si>
    <t>Total</t>
  </si>
  <si>
    <t>m³/hr for velocity</t>
  </si>
  <si>
    <t>Data Source</t>
  </si>
  <si>
    <t>Electricity Rate ($ per kW·h) =</t>
  </si>
  <si>
    <t>Munters Euroemme EM50 - 1hp</t>
  </si>
  <si>
    <t>($, excl. GST)</t>
  </si>
  <si>
    <t>BESS test 02466</t>
  </si>
  <si>
    <t>BESS test 08257a</t>
  </si>
  <si>
    <t>BESS test 09248</t>
  </si>
  <si>
    <t>BESS test 09257</t>
  </si>
  <si>
    <t>BESS test 99160</t>
  </si>
  <si>
    <t>Multifan MF130 0.75kW (50.5", 1.0hp, 3 blade)</t>
  </si>
  <si>
    <t>Multifan MF130 1.12 kW (50.5", 1.5 hp, 3 blade)</t>
  </si>
  <si>
    <t>BESS test 05334</t>
  </si>
  <si>
    <t>BESS test 07090</t>
  </si>
  <si>
    <t>BESS test 12123</t>
  </si>
  <si>
    <t xml:space="preserve">BESS test 12126 </t>
  </si>
  <si>
    <t>BESS test 12136</t>
  </si>
  <si>
    <t>BESS test 12138</t>
  </si>
  <si>
    <t>American Coolair MNBFA54N (60Hz) 2hp</t>
  </si>
  <si>
    <t>American Coolair MNBFA54M (60Hz) 1.5hp)</t>
  </si>
  <si>
    <t>American Coolair MNBFA54L (60Hz) 1hp</t>
  </si>
  <si>
    <t>American Coolair MNCFE52L (60Hz) 1hp</t>
  </si>
  <si>
    <t>American Coolair MNBF60M (60Hz) 1.5 hp</t>
  </si>
  <si>
    <t>Hired Hand 6603-7403 52" (60Hz) CONE 1hp</t>
  </si>
  <si>
    <t>Hired Hand 6603-6527 52.5" - Butterfly damper (60Hz) CONE 1hp</t>
  </si>
  <si>
    <t>Hired Hand 6603-3000 52.5" - CONE 1.5hp</t>
  </si>
  <si>
    <t>Hired Hand 6603-8010 54" - CONE 1.5hp</t>
  </si>
  <si>
    <t>Munters Euroemme  EC-50 (60Hz, 1 phase) CONE 1hp</t>
  </si>
  <si>
    <t>Munters Euroemme  EC-50 CONE 1.5hp</t>
  </si>
  <si>
    <t>American Coolair MNBFC60M (60Hz) CONE 1.5 hp</t>
  </si>
  <si>
    <t>American Coolair MNCFC52L (60Hz) CONE 1hp</t>
  </si>
  <si>
    <t>Multifan MF130 0.75 kW (50.5", 1.0 hp, 3 blade) CONE</t>
  </si>
  <si>
    <t>Multifan MF130 1.12 kW (50.5", 1.5 hp, 3 blade) CONE</t>
  </si>
  <si>
    <t>American Coolair MNBCCE54L (60 Hz) CONE 1hp</t>
  </si>
  <si>
    <t>Air Flow (m³/hour)</t>
  </si>
  <si>
    <t>Est. Wind-chill @ 29.4°C</t>
  </si>
  <si>
    <t>Change number</t>
  </si>
  <si>
    <t xml:space="preserve"> of fans? (no=0)</t>
  </si>
  <si>
    <t>Air velocity</t>
  </si>
  <si>
    <t>Power Consumption</t>
  </si>
  <si>
    <t>All fans @ 25 Pa</t>
  </si>
  <si>
    <t>cost (yearly)</t>
  </si>
  <si>
    <t>Flow rate</t>
  </si>
  <si>
    <t>Speed</t>
  </si>
  <si>
    <t>Distance</t>
  </si>
  <si>
    <t>Temperature</t>
  </si>
  <si>
    <t>CFM</t>
  </si>
  <si>
    <t>m³/h</t>
  </si>
  <si>
    <t>m³/s</t>
  </si>
  <si>
    <t>feet/min</t>
  </si>
  <si>
    <t>m/s</t>
  </si>
  <si>
    <t>ft</t>
  </si>
  <si>
    <t>m</t>
  </si>
  <si>
    <t>CFM per watt</t>
  </si>
  <si>
    <t>m³/h per watt</t>
  </si>
  <si>
    <r>
      <t>inch H</t>
    </r>
    <r>
      <rPr>
        <b/>
        <vertAlign val="subscript"/>
        <sz val="10"/>
        <rFont val="Arial"/>
        <family val="2"/>
      </rPr>
      <t>2</t>
    </r>
    <r>
      <rPr>
        <b/>
        <sz val="10"/>
        <rFont val="Arial"/>
        <family val="2"/>
      </rPr>
      <t>O</t>
    </r>
  </si>
  <si>
    <t>Pa</t>
  </si>
  <si>
    <t>°F</t>
  </si>
  <si>
    <t>°C</t>
  </si>
  <si>
    <t>Watts per CFM</t>
  </si>
  <si>
    <t>Watts per m³/h</t>
  </si>
  <si>
    <t>Flow Rate</t>
  </si>
  <si>
    <t>10 Year Running Cost</t>
  </si>
  <si>
    <t>OR ENTER CUSTOM FAN DATA BELOW</t>
  </si>
  <si>
    <t/>
  </si>
  <si>
    <t>Obtain the most recent data for the fans you are considering from 
independent test report (available from your fan supplier).</t>
  </si>
  <si>
    <t xml:space="preserve">Power Consumption </t>
  </si>
  <si>
    <t>Estimated Air</t>
  </si>
  <si>
    <t xml:space="preserve"> Velocity in Shed</t>
  </si>
  <si>
    <t xml:space="preserve">Yearly Fan </t>
  </si>
  <si>
    <t>Operating Cost</t>
  </si>
  <si>
    <t xml:space="preserve">Total Fan </t>
  </si>
  <si>
    <t>Purchase Cost</t>
  </si>
  <si>
    <t xml:space="preserve"> 'Peak Demand' Charge Rate ($/kW)</t>
  </si>
  <si>
    <t xml:space="preserve">(the above table will populate with estimations </t>
  </si>
  <si>
    <t>based on data entered here)</t>
  </si>
  <si>
    <t xml:space="preserve"> @ 25 Pa</t>
  </si>
  <si>
    <t>12.5 Pa</t>
  </si>
  <si>
    <t>25  Pa</t>
  </si>
  <si>
    <t>37.5  Pa</t>
  </si>
  <si>
    <t>50  Pa</t>
  </si>
  <si>
    <t>Minimum recommended fan capacity m³/hr (air exchange) =</t>
  </si>
  <si>
    <t>This spreadsheet is designed to compare the performance and costs associated with running different models of tunnel fan</t>
  </si>
  <si>
    <t>m³/h per watt @ 
25 Pa</t>
  </si>
  <si>
    <t>Notes</t>
  </si>
  <si>
    <t xml:space="preserve">Enter values in the </t>
  </si>
  <si>
    <t>Green shaded</t>
  </si>
  <si>
    <t>boxes</t>
  </si>
  <si>
    <t>Metric and Imperial conversion calculators are included in the 3rd and 4th worksheets</t>
  </si>
  <si>
    <t>Enter 'peak power demand' rate (if applicable)*</t>
  </si>
  <si>
    <t>Instructions</t>
  </si>
  <si>
    <t>The custom fan data will then be shown in the first comparison table, displaying associated costs</t>
  </si>
  <si>
    <t>Enter estimated number of hours per year the tunnel fans operate (the figure 2,410 hours is a calculated average from monitoring sheds in NSW, QLD and VIC)</t>
  </si>
  <si>
    <t>If a fan model you wish to compare isn't on the dropdown list, you can enter custom fan data in the second table</t>
  </si>
  <si>
    <t>Peak Power</t>
  </si>
  <si>
    <t>Yearly Costs</t>
  </si>
  <si>
    <t>10 Year Costs</t>
  </si>
  <si>
    <t>Enter number of batches per year</t>
  </si>
  <si>
    <t>Enter maximum length of typical batch</t>
  </si>
  <si>
    <t>* peak power demand is the network charge associated with the maximum amount of energy being drawn at any one time (usually billed as $/kW)</t>
  </si>
  <si>
    <t>Recommended</t>
  </si>
  <si>
    <t>kW</t>
  </si>
  <si>
    <t>Currently installed</t>
  </si>
  <si>
    <t>of Fans</t>
  </si>
  <si>
    <t>Select your CURRENTLY INSTALLED tunnel fan models</t>
  </si>
  <si>
    <t xml:space="preserve"> number of fans</t>
  </si>
  <si>
    <t>COMBINED TOTAL</t>
  </si>
  <si>
    <t xml:space="preserve">Enter the number of fans you have installed. </t>
  </si>
  <si>
    <t>Select the fans that are currently installed on your shed (up to 5 different models)</t>
  </si>
  <si>
    <t>Select fans to compare</t>
  </si>
  <si>
    <t>SOURCE DATA FOR CALCULATIONS</t>
  </si>
  <si>
    <t>American Coolair MNBFA48L (60Hz) 1hp with CONE</t>
  </si>
  <si>
    <t>Enter custom data</t>
  </si>
  <si>
    <t>Select a possible REPLACEMENT fan from the list</t>
  </si>
  <si>
    <t>Entering custom fan data—</t>
  </si>
  <si>
    <t>To gain an accurate estimation of costs, you will need to enter performance information across a range of pressures</t>
  </si>
  <si>
    <t>Acknowledgments</t>
  </si>
  <si>
    <t>http://www.poultryventilation.com/spreadsheets</t>
  </si>
  <si>
    <r>
      <t>This spreadsheet was adapted from '</t>
    </r>
    <r>
      <rPr>
        <b/>
        <i/>
        <sz val="12"/>
        <rFont val="Arial"/>
        <family val="2"/>
      </rPr>
      <t>Tunnel-Ventilated Broiler House Fan Comparison Spreadsheet 2011</t>
    </r>
    <r>
      <rPr>
        <b/>
        <sz val="12"/>
        <rFont val="Arial"/>
        <family val="2"/>
      </rPr>
      <t>'</t>
    </r>
    <r>
      <rPr>
        <sz val="12"/>
        <rFont val="Arial"/>
      </rPr>
      <t>, developed by The University of Georgia Biological</t>
    </r>
  </si>
  <si>
    <r>
      <t>This spreadsheet was developed for RIRDC project PRJ-008688, '</t>
    </r>
    <r>
      <rPr>
        <b/>
        <i/>
        <sz val="12"/>
        <rFont val="Arial"/>
        <family val="2"/>
      </rPr>
      <t>Reducing costs and energy by replacing inefficient ventilation fans</t>
    </r>
    <r>
      <rPr>
        <sz val="12"/>
        <rFont val="Arial"/>
      </rPr>
      <t>'.</t>
    </r>
  </si>
  <si>
    <t xml:space="preserve">. The spreadsheet also builds upon the </t>
  </si>
  <si>
    <t>Then enter electricity tariff rate ($ per kW hr)</t>
  </si>
  <si>
    <r>
      <t xml:space="preserve">Alternatively, enter the average number of batches per year and the typical batch length in the </t>
    </r>
    <r>
      <rPr>
        <b/>
        <sz val="12"/>
        <color indexed="17"/>
        <rFont val="Arial"/>
        <family val="2"/>
      </rPr>
      <t>table below</t>
    </r>
    <r>
      <rPr>
        <sz val="12"/>
        <rFont val="Arial"/>
      </rPr>
      <t>, this will estimate your minimum and maximum number of fan hours</t>
    </r>
  </si>
  <si>
    <t xml:space="preserve">and Agricultural Engineering, Michael Czarick. Available for free download at </t>
  </si>
  <si>
    <t xml:space="preserve">Refer to the INSTRUCTIONS sheet on how to use this spreadsheet. </t>
  </si>
  <si>
    <t>sections (don't enter "$" or  "," ). Imperial to metric conversions on the following worksheets</t>
  </si>
  <si>
    <t xml:space="preserve">GREEN </t>
  </si>
  <si>
    <t xml:space="preserve">Enter values in </t>
  </si>
  <si>
    <t>Chore-Time 52157-51 (54", 1.5hp, 3 blade) CONE</t>
  </si>
  <si>
    <t>BESS test 09084</t>
  </si>
  <si>
    <t>To convert Imperial/English units into metric, type the Imperial/English value into the green cell and press ENTER. Read the metric value from the cell with green text</t>
  </si>
  <si>
    <t>To convert metric units into Imperial/English, type the metric value into the green cell and press ENTER. Read the Imperial/English value from the cell with green text</t>
  </si>
  <si>
    <t>Outputs per shed— for Recommended number of fans</t>
  </si>
  <si>
    <t>Outputs per Shed—for custom number of fans</t>
  </si>
  <si>
    <t>This spreadsheet only estimates the peak load drawn by the fans. It does not include other power consuming equipment that will effect peak load</t>
  </si>
  <si>
    <t xml:space="preserve">Possible </t>
  </si>
  <si>
    <t>Savings</t>
  </si>
  <si>
    <t>The speadsheet will display all associated costs. You can see how your fans compare to other models available.</t>
  </si>
  <si>
    <t>Ventilation Fan Cost Calculation Spreadsheet</t>
  </si>
  <si>
    <t>POULTRY HOUSE INFORMATION</t>
  </si>
  <si>
    <t>(10 year)</t>
  </si>
  <si>
    <t>50 Pa</t>
  </si>
  <si>
    <t>37.5 Pa</t>
  </si>
  <si>
    <t>25 Pa</t>
  </si>
  <si>
    <t>American Coolair brochure Jan 2010 (ANSI/AMCA Standard  210-07)</t>
  </si>
  <si>
    <t>American Coolair brochure Oct 2007 (ANSI/AMCA Standard  210-99)</t>
  </si>
  <si>
    <t>The spreadsheet will then automatically calculate approximate running and other associated data</t>
  </si>
  <si>
    <t>It is intended to show how selecting more efficient fans can reduce energy costs over a 10 year period</t>
  </si>
  <si>
    <t>Enter shed dimensions</t>
  </si>
  <si>
    <r>
      <t>Note: fan prices listed below were obtained prior to November 2013. 
This sheet only considers fan models with</t>
    </r>
    <r>
      <rPr>
        <b/>
        <i/>
        <sz val="12"/>
        <rFont val="Arial"/>
        <family val="2"/>
      </rPr>
      <t xml:space="preserve"> independent test report data</t>
    </r>
  </si>
  <si>
    <r>
      <t xml:space="preserve">The spreadsheet will then recommend the minimum </t>
    </r>
    <r>
      <rPr>
        <u/>
        <sz val="12"/>
        <rFont val="Arial"/>
        <family val="2"/>
      </rPr>
      <t>number of fans based on your shed dimensions</t>
    </r>
  </si>
  <si>
    <t>Finally, select a fan model you are considering to replace your current fans with. (up to 5 at a time can be compared, with the spreadsheet assuming only one type will be installed)</t>
  </si>
  <si>
    <t>BESS test 11353</t>
  </si>
  <si>
    <t>Munters WF541V3CD-50 – Butterfly damper, 54" (1hp, CONE)</t>
  </si>
  <si>
    <t>Munters WF501V3CD-50 – Butterfly damper, 50" (1hp, CONE)</t>
  </si>
  <si>
    <t>Munters WF5015V3CD-50 – Butterfly damper, 50" (1.5hp, CONE)</t>
  </si>
  <si>
    <t>Best test 11352</t>
  </si>
  <si>
    <t>BESS test 02333</t>
  </si>
  <si>
    <t>BESS test 02332</t>
  </si>
  <si>
    <t>BESS test 02335</t>
  </si>
  <si>
    <t>BESS test 02334</t>
  </si>
  <si>
    <t>BESS test 10240</t>
  </si>
  <si>
    <t>BESS test 11351</t>
  </si>
  <si>
    <r>
      <t>previous spreadsheet '</t>
    </r>
    <r>
      <rPr>
        <b/>
        <i/>
        <sz val="12"/>
        <rFont val="Arial"/>
        <family val="2"/>
      </rPr>
      <t>Review of fan efficiency in meat chicken sheds</t>
    </r>
    <r>
      <rPr>
        <sz val="12"/>
        <rFont val="Arial"/>
      </rPr>
      <t>' developed for RIRDC by Mark Dunlop of the Department of Agriculture and Fisheries.</t>
    </r>
  </si>
  <si>
    <t>For more information about this spreadsheet contact Grant Brown, Department of Agriculture and Fisheries</t>
  </si>
  <si>
    <r>
      <t xml:space="preserve">Phone (07) 4688 1521. Email </t>
    </r>
    <r>
      <rPr>
        <u/>
        <sz val="12"/>
        <color indexed="12"/>
        <rFont val="Arial"/>
        <family val="2"/>
      </rPr>
      <t>grant.brown@qld.gov.au</t>
    </r>
  </si>
</sst>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2" formatCode="_-&quot;$&quot;* #,##0_-;\-&quot;$&quot;* #,##0_-;_-&quot;$&quot;* &quot;-&quot;_-;_-@_-"/>
    <numFmt numFmtId="164" formatCode="&quot;$&quot;#,##0.00"/>
    <numFmt numFmtId="165" formatCode="0.0"/>
    <numFmt numFmtId="166" formatCode="&quot;$&quot;#,##0"/>
    <numFmt numFmtId="167" formatCode="#,##0.0"/>
    <numFmt numFmtId="168" formatCode="#\ &quot;ft^2&quot;"/>
    <numFmt numFmtId="169" formatCode="&quot;$&quot;#,##0;[Red]&quot;$&quot;#,##0"/>
    <numFmt numFmtId="170" formatCode="[$$-409]#,##0_);[Red]\([$$-409]#,##0\)"/>
    <numFmt numFmtId="171" formatCode="#,##0\ &quot;m³/h&quot;"/>
    <numFmt numFmtId="172" formatCode="#,###\ &quot;m²&quot;"/>
    <numFmt numFmtId="173" formatCode="#.#\ &quot;L/hour&quot;"/>
    <numFmt numFmtId="174" formatCode="&quot;Fan&quot;\ #"/>
    <numFmt numFmtId="175" formatCode="#.00\ &quot;m/s&quot;"/>
    <numFmt numFmtId="176" formatCode="&quot;$&quot;#,##0.0;[Red]&quot;$&quot;#,##0.0"/>
    <numFmt numFmtId="177" formatCode="&quot;$&quot;#,##0.00;[Red]&quot;$&quot;#,##0.00"/>
    <numFmt numFmtId="178" formatCode="#,##0.0\ &quot;kW&quot;"/>
    <numFmt numFmtId="179" formatCode="#,###\ \ &quot;m³/h&quot;"/>
    <numFmt numFmtId="180" formatCode="0.000"/>
    <numFmt numFmtId="181" formatCode="0.0\ \k\W"/>
    <numFmt numFmtId="182" formatCode=";;"/>
  </numFmts>
  <fonts count="49">
    <font>
      <sz val="10"/>
      <name val="Arial"/>
    </font>
    <font>
      <b/>
      <sz val="12"/>
      <name val="Arial"/>
      <family val="2"/>
    </font>
    <font>
      <u/>
      <sz val="6"/>
      <color indexed="12"/>
      <name val="Arial"/>
      <family val="2"/>
    </font>
    <font>
      <sz val="10"/>
      <name val="Arial"/>
      <family val="2"/>
    </font>
    <font>
      <sz val="8"/>
      <name val="Arial"/>
      <family val="2"/>
    </font>
    <font>
      <sz val="18"/>
      <color indexed="81"/>
      <name val="Tahoma"/>
      <family val="2"/>
    </font>
    <font>
      <i/>
      <sz val="18"/>
      <color indexed="81"/>
      <name val="Tahoma"/>
      <family val="2"/>
    </font>
    <font>
      <b/>
      <sz val="8"/>
      <color indexed="81"/>
      <name val="Tahoma"/>
      <family val="2"/>
    </font>
    <font>
      <b/>
      <sz val="18"/>
      <color indexed="81"/>
      <name val="Tahoma"/>
      <family val="2"/>
    </font>
    <font>
      <b/>
      <sz val="12"/>
      <color indexed="17"/>
      <name val="Arial"/>
      <family val="2"/>
    </font>
    <font>
      <b/>
      <sz val="10"/>
      <name val="Arial"/>
      <family val="2"/>
    </font>
    <font>
      <b/>
      <sz val="14"/>
      <name val="Arial"/>
      <family val="2"/>
    </font>
    <font>
      <b/>
      <vertAlign val="subscript"/>
      <sz val="10"/>
      <name val="Arial"/>
      <family val="2"/>
    </font>
    <font>
      <sz val="10"/>
      <color indexed="12"/>
      <name val="Arial"/>
      <family val="2"/>
    </font>
    <font>
      <b/>
      <i/>
      <sz val="12"/>
      <name val="Arial"/>
      <family val="2"/>
    </font>
    <font>
      <sz val="12"/>
      <name val="Arial"/>
      <family val="2"/>
    </font>
    <font>
      <b/>
      <i/>
      <sz val="12"/>
      <color indexed="17"/>
      <name val="Arial"/>
      <family val="2"/>
    </font>
    <font>
      <b/>
      <i/>
      <sz val="12"/>
      <color indexed="10"/>
      <name val="Arial"/>
      <family val="2"/>
    </font>
    <font>
      <sz val="12"/>
      <color indexed="17"/>
      <name val="Arial"/>
      <family val="2"/>
    </font>
    <font>
      <b/>
      <sz val="12"/>
      <color indexed="12"/>
      <name val="Arial"/>
      <family val="2"/>
    </font>
    <font>
      <b/>
      <sz val="14"/>
      <color indexed="10"/>
      <name val="Arial"/>
      <family val="2"/>
    </font>
    <font>
      <sz val="8"/>
      <name val="Arial"/>
    </font>
    <font>
      <sz val="12"/>
      <color indexed="8"/>
      <name val="Arial"/>
      <family val="2"/>
    </font>
    <font>
      <sz val="12"/>
      <name val="Arial"/>
    </font>
    <font>
      <b/>
      <u/>
      <sz val="30"/>
      <name val="Agency FB"/>
      <family val="2"/>
    </font>
    <font>
      <b/>
      <u/>
      <sz val="12"/>
      <name val="Arial"/>
      <family val="2"/>
    </font>
    <font>
      <b/>
      <sz val="16"/>
      <color indexed="10"/>
      <name val="Arial"/>
      <family val="2"/>
    </font>
    <font>
      <b/>
      <i/>
      <sz val="12"/>
      <color indexed="57"/>
      <name val="Arial"/>
      <family val="2"/>
    </font>
    <font>
      <sz val="10"/>
      <color indexed="57"/>
      <name val="Arial"/>
      <family val="2"/>
    </font>
    <font>
      <b/>
      <sz val="12"/>
      <color indexed="8"/>
      <name val="Arial"/>
      <family val="2"/>
    </font>
    <font>
      <b/>
      <sz val="12"/>
      <color indexed="10"/>
      <name val="Arial"/>
      <family val="2"/>
    </font>
    <font>
      <b/>
      <sz val="18"/>
      <color indexed="57"/>
      <name val="Agency FB"/>
      <family val="2"/>
    </font>
    <font>
      <b/>
      <sz val="16"/>
      <name val="Arial"/>
      <family val="2"/>
    </font>
    <font>
      <sz val="10"/>
      <color indexed="9"/>
      <name val="Arial"/>
      <family val="2"/>
    </font>
    <font>
      <b/>
      <sz val="38"/>
      <color indexed="9"/>
      <name val="Agency FB"/>
      <family val="2"/>
    </font>
    <font>
      <u/>
      <sz val="8.5"/>
      <color indexed="12"/>
      <name val="Arial"/>
    </font>
    <font>
      <u/>
      <sz val="12"/>
      <color indexed="12"/>
      <name val="Arial"/>
    </font>
    <font>
      <u/>
      <sz val="12"/>
      <color indexed="12"/>
      <name val="Arial"/>
      <family val="2"/>
    </font>
    <font>
      <b/>
      <sz val="12"/>
      <color indexed="9"/>
      <name val="Arial"/>
      <family val="2"/>
    </font>
    <font>
      <b/>
      <sz val="10"/>
      <color indexed="9"/>
      <name val="Arial"/>
      <family val="2"/>
    </font>
    <font>
      <b/>
      <sz val="10"/>
      <color indexed="17"/>
      <name val="Arial"/>
      <family val="2"/>
    </font>
    <font>
      <b/>
      <sz val="10"/>
      <color indexed="57"/>
      <name val="Arial"/>
      <family val="2"/>
    </font>
    <font>
      <i/>
      <sz val="12"/>
      <color indexed="17"/>
      <name val="Arial"/>
      <family val="2"/>
    </font>
    <font>
      <b/>
      <sz val="13"/>
      <color indexed="10"/>
      <name val="Arial"/>
      <family val="2"/>
    </font>
    <font>
      <b/>
      <sz val="13"/>
      <name val="Arial"/>
      <family val="2"/>
    </font>
    <font>
      <b/>
      <sz val="14"/>
      <color indexed="17"/>
      <name val="Arial"/>
      <family val="2"/>
    </font>
    <font>
      <b/>
      <sz val="18"/>
      <color indexed="17"/>
      <name val="Agency FB"/>
      <family val="2"/>
    </font>
    <font>
      <b/>
      <sz val="18"/>
      <color indexed="9"/>
      <name val="Agency FB"/>
      <family val="2"/>
    </font>
    <font>
      <u/>
      <sz val="12"/>
      <name val="Arial"/>
      <family val="2"/>
    </font>
  </fonts>
  <fills count="9">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17"/>
        <bgColor indexed="64"/>
      </patternFill>
    </fill>
    <fill>
      <patternFill patternType="solid">
        <fgColor indexed="9"/>
        <bgColor indexed="64"/>
      </patternFill>
    </fill>
    <fill>
      <patternFill patternType="solid">
        <fgColor indexed="49"/>
        <bgColor indexed="64"/>
      </patternFill>
    </fill>
  </fills>
  <borders count="78">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s>
  <cellStyleXfs count="4">
    <xf numFmtId="0" fontId="0" fillId="0" borderId="0"/>
    <xf numFmtId="0" fontId="3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cellStyleXfs>
  <cellXfs count="610">
    <xf numFmtId="0" fontId="0" fillId="0" borderId="0" xfId="0"/>
    <xf numFmtId="0" fontId="1" fillId="0" borderId="0" xfId="0" applyNumberFormat="1" applyFont="1" applyProtection="1"/>
    <xf numFmtId="0" fontId="1" fillId="0" borderId="0" xfId="0" applyFont="1" applyFill="1" applyBorder="1" applyProtection="1"/>
    <xf numFmtId="0" fontId="1" fillId="0" borderId="0" xfId="0" applyFont="1" applyProtection="1"/>
    <xf numFmtId="0" fontId="1" fillId="0" borderId="0" xfId="0" applyFont="1" applyBorder="1" applyProtection="1"/>
    <xf numFmtId="0" fontId="3" fillId="0" borderId="0" xfId="3"/>
    <xf numFmtId="0" fontId="10" fillId="0" borderId="0" xfId="3" applyFont="1"/>
    <xf numFmtId="0" fontId="3" fillId="0" borderId="0" xfId="3" applyAlignment="1">
      <alignment horizontal="center" vertical="center"/>
    </xf>
    <xf numFmtId="0" fontId="10" fillId="0" borderId="0" xfId="3" applyFont="1" applyBorder="1" applyAlignment="1">
      <alignment horizontal="center" vertical="center" wrapText="1"/>
    </xf>
    <xf numFmtId="0" fontId="10" fillId="0" borderId="0" xfId="3" applyFont="1" applyAlignment="1">
      <alignment horizontal="center" vertical="center"/>
    </xf>
    <xf numFmtId="0" fontId="13" fillId="0" borderId="0" xfId="3" applyFont="1" applyAlignment="1">
      <alignment horizontal="center"/>
    </xf>
    <xf numFmtId="0" fontId="3" fillId="0" borderId="0" xfId="3" applyAlignment="1">
      <alignment horizontal="center"/>
    </xf>
    <xf numFmtId="0" fontId="3" fillId="0" borderId="1" xfId="3" applyBorder="1" applyAlignment="1">
      <alignment horizontal="center"/>
    </xf>
    <xf numFmtId="3" fontId="3" fillId="0" borderId="0" xfId="3" applyNumberFormat="1" applyBorder="1" applyAlignment="1">
      <alignment horizontal="center"/>
    </xf>
    <xf numFmtId="2" fontId="3" fillId="0" borderId="2" xfId="3" applyNumberFormat="1" applyFont="1" applyFill="1" applyBorder="1" applyAlignment="1">
      <alignment horizontal="center"/>
    </xf>
    <xf numFmtId="2" fontId="3" fillId="0" borderId="2" xfId="3" applyNumberFormat="1" applyBorder="1" applyAlignment="1">
      <alignment horizontal="center"/>
    </xf>
    <xf numFmtId="165" fontId="3" fillId="0" borderId="2" xfId="3" applyNumberFormat="1" applyBorder="1"/>
    <xf numFmtId="1" fontId="3" fillId="0" borderId="1" xfId="3" applyNumberFormat="1" applyBorder="1" applyAlignment="1">
      <alignment horizontal="center"/>
    </xf>
    <xf numFmtId="165" fontId="3" fillId="0" borderId="2" xfId="3" applyNumberFormat="1" applyBorder="1" applyAlignment="1">
      <alignment horizontal="center"/>
    </xf>
    <xf numFmtId="2" fontId="3" fillId="0" borderId="1" xfId="3" applyNumberFormat="1" applyBorder="1"/>
    <xf numFmtId="1" fontId="3" fillId="0" borderId="2" xfId="3" applyNumberFormat="1" applyFont="1" applyBorder="1" applyAlignment="1">
      <alignment horizontal="center"/>
    </xf>
    <xf numFmtId="0" fontId="10" fillId="0" borderId="0" xfId="3" applyFont="1" applyAlignment="1">
      <alignment horizontal="center" vertical="top" wrapText="1"/>
    </xf>
    <xf numFmtId="0" fontId="3" fillId="0" borderId="3" xfId="3" applyBorder="1" applyAlignment="1">
      <alignment horizontal="center"/>
    </xf>
    <xf numFmtId="2" fontId="3" fillId="0" borderId="4" xfId="3" applyNumberFormat="1" applyBorder="1" applyAlignment="1">
      <alignment horizontal="center"/>
    </xf>
    <xf numFmtId="1" fontId="3" fillId="0" borderId="3" xfId="3" applyNumberFormat="1" applyBorder="1" applyAlignment="1">
      <alignment horizontal="center"/>
    </xf>
    <xf numFmtId="165" fontId="3" fillId="0" borderId="4" xfId="3" applyNumberFormat="1" applyBorder="1" applyAlignment="1">
      <alignment horizontal="center"/>
    </xf>
    <xf numFmtId="1" fontId="3" fillId="0" borderId="0" xfId="3" applyNumberFormat="1" applyAlignment="1">
      <alignment horizontal="center"/>
    </xf>
    <xf numFmtId="165" fontId="3" fillId="0" borderId="0" xfId="3" applyNumberFormat="1" applyAlignment="1">
      <alignment horizontal="center"/>
    </xf>
    <xf numFmtId="165" fontId="3" fillId="0" borderId="4" xfId="3" applyNumberFormat="1" applyBorder="1"/>
    <xf numFmtId="180" fontId="3" fillId="0" borderId="1" xfId="3" applyNumberFormat="1" applyBorder="1" applyAlignment="1">
      <alignment horizontal="center"/>
    </xf>
    <xf numFmtId="180" fontId="3" fillId="0" borderId="2" xfId="3" applyNumberFormat="1" applyBorder="1" applyAlignment="1">
      <alignment horizontal="center"/>
    </xf>
    <xf numFmtId="2" fontId="3" fillId="0" borderId="3" xfId="3" applyNumberFormat="1" applyBorder="1"/>
    <xf numFmtId="1" fontId="3" fillId="0" borderId="4" xfId="3" applyNumberFormat="1" applyFont="1" applyBorder="1" applyAlignment="1">
      <alignment horizontal="center"/>
    </xf>
    <xf numFmtId="3" fontId="3" fillId="0" borderId="5" xfId="3" applyNumberFormat="1" applyBorder="1" applyAlignment="1">
      <alignment horizontal="center"/>
    </xf>
    <xf numFmtId="2" fontId="3" fillId="0" borderId="4" xfId="3" applyNumberFormat="1" applyFont="1" applyFill="1" applyBorder="1" applyAlignment="1">
      <alignment horizontal="center"/>
    </xf>
    <xf numFmtId="180" fontId="3" fillId="0" borderId="3" xfId="3" applyNumberFormat="1" applyBorder="1" applyAlignment="1">
      <alignment horizontal="center"/>
    </xf>
    <xf numFmtId="180" fontId="3" fillId="0" borderId="4" xfId="3" applyNumberFormat="1" applyBorder="1" applyAlignment="1">
      <alignment horizontal="center"/>
    </xf>
    <xf numFmtId="0" fontId="3" fillId="0" borderId="0" xfId="3" applyBorder="1"/>
    <xf numFmtId="165" fontId="3" fillId="0" borderId="0" xfId="3" applyNumberFormat="1" applyBorder="1"/>
    <xf numFmtId="0" fontId="11" fillId="0" borderId="0" xfId="3" applyFont="1" applyAlignment="1">
      <alignment horizontal="center" vertical="center"/>
    </xf>
    <xf numFmtId="0" fontId="10" fillId="0" borderId="0" xfId="3" applyFont="1" applyAlignment="1">
      <alignment horizontal="center" vertical="center" wrapText="1"/>
    </xf>
    <xf numFmtId="0" fontId="3" fillId="0" borderId="0" xfId="3" applyAlignment="1">
      <alignment horizontal="center" vertical="center" wrapText="1"/>
    </xf>
    <xf numFmtId="0" fontId="13" fillId="0" borderId="0" xfId="3" applyFont="1" applyAlignment="1">
      <alignment horizontal="center" vertical="center" wrapText="1"/>
    </xf>
    <xf numFmtId="180" fontId="13" fillId="0" borderId="0" xfId="3" applyNumberFormat="1" applyFont="1" applyAlignment="1">
      <alignment horizontal="center" vertical="center" wrapText="1"/>
    </xf>
    <xf numFmtId="0" fontId="3" fillId="0" borderId="1" xfId="3" applyBorder="1" applyAlignment="1">
      <alignment horizontal="center" vertical="center"/>
    </xf>
    <xf numFmtId="3" fontId="3" fillId="0" borderId="2" xfId="3" applyNumberFormat="1" applyBorder="1" applyAlignment="1">
      <alignment horizontal="center" vertical="center"/>
    </xf>
    <xf numFmtId="1" fontId="3" fillId="0" borderId="2" xfId="3" applyNumberFormat="1" applyBorder="1" applyAlignment="1">
      <alignment horizontal="center" vertical="center"/>
    </xf>
    <xf numFmtId="165" fontId="3" fillId="0" borderId="2" xfId="3" applyNumberFormat="1" applyBorder="1" applyAlignment="1">
      <alignment horizontal="center" vertical="center"/>
    </xf>
    <xf numFmtId="180" fontId="3" fillId="0" borderId="1" xfId="3" applyNumberFormat="1" applyBorder="1" applyAlignment="1">
      <alignment horizontal="center" vertical="center"/>
    </xf>
    <xf numFmtId="180" fontId="3" fillId="0" borderId="0" xfId="3" applyNumberFormat="1" applyFont="1" applyAlignment="1">
      <alignment horizontal="center" vertical="center" wrapText="1"/>
    </xf>
    <xf numFmtId="2" fontId="3" fillId="0" borderId="2" xfId="3" applyNumberFormat="1" applyFont="1" applyBorder="1" applyAlignment="1">
      <alignment horizontal="center" vertical="center" wrapText="1"/>
    </xf>
    <xf numFmtId="0" fontId="3" fillId="0" borderId="3" xfId="3" applyBorder="1" applyAlignment="1">
      <alignment horizontal="center" vertical="center"/>
    </xf>
    <xf numFmtId="1" fontId="3" fillId="0" borderId="4" xfId="3" applyNumberFormat="1" applyBorder="1" applyAlignment="1">
      <alignment horizontal="center" vertical="center"/>
    </xf>
    <xf numFmtId="1" fontId="3" fillId="0" borderId="0" xfId="3" applyNumberFormat="1" applyAlignment="1">
      <alignment horizontal="center" vertical="center"/>
    </xf>
    <xf numFmtId="180" fontId="3" fillId="0" borderId="3" xfId="3" applyNumberFormat="1" applyBorder="1" applyAlignment="1">
      <alignment horizontal="center" vertical="center"/>
    </xf>
    <xf numFmtId="2" fontId="3" fillId="0" borderId="4" xfId="3" applyNumberFormat="1" applyFont="1" applyBorder="1" applyAlignment="1">
      <alignment horizontal="center" vertical="center" wrapText="1"/>
    </xf>
    <xf numFmtId="3" fontId="3" fillId="0" borderId="4" xfId="3" applyNumberFormat="1" applyBorder="1" applyAlignment="1">
      <alignment horizontal="center" vertical="center"/>
    </xf>
    <xf numFmtId="165" fontId="3" fillId="0" borderId="4" xfId="3" applyNumberFormat="1" applyBorder="1" applyAlignment="1">
      <alignment horizontal="center" vertical="center"/>
    </xf>
    <xf numFmtId="0" fontId="3" fillId="0" borderId="0" xfId="3" applyBorder="1" applyAlignment="1">
      <alignment horizontal="center" vertical="center"/>
    </xf>
    <xf numFmtId="0" fontId="15" fillId="0" borderId="0" xfId="0" applyFont="1" applyProtection="1"/>
    <xf numFmtId="0" fontId="15" fillId="0" borderId="6" xfId="0" applyFont="1" applyBorder="1" applyProtection="1"/>
    <xf numFmtId="0" fontId="14" fillId="0" borderId="0" xfId="0" applyFont="1" applyFill="1" applyBorder="1" applyProtection="1"/>
    <xf numFmtId="0" fontId="15" fillId="0" borderId="0" xfId="0" applyFont="1" applyBorder="1" applyProtection="1"/>
    <xf numFmtId="0" fontId="18" fillId="0" borderId="0" xfId="0" applyFont="1" applyFill="1" applyBorder="1" applyProtection="1"/>
    <xf numFmtId="0" fontId="18" fillId="0" borderId="0" xfId="0" applyFont="1" applyFill="1" applyProtection="1"/>
    <xf numFmtId="0" fontId="1" fillId="0" borderId="0" xfId="0" applyFont="1" applyFill="1" applyBorder="1" applyAlignment="1" applyProtection="1">
      <alignment horizontal="center" wrapText="1"/>
    </xf>
    <xf numFmtId="0" fontId="1" fillId="0" borderId="0" xfId="0" applyFont="1" applyFill="1" applyBorder="1" applyAlignment="1" applyProtection="1">
      <alignment horizontal="left" wrapText="1"/>
    </xf>
    <xf numFmtId="42" fontId="1" fillId="0" borderId="0" xfId="0" applyNumberFormat="1" applyFont="1" applyFill="1" applyBorder="1" applyAlignment="1" applyProtection="1">
      <alignment horizontal="center" wrapText="1"/>
    </xf>
    <xf numFmtId="0" fontId="14" fillId="0" borderId="0" xfId="0" applyFont="1" applyFill="1" applyBorder="1" applyAlignment="1" applyProtection="1">
      <alignment horizontal="center"/>
    </xf>
    <xf numFmtId="174" fontId="9" fillId="0" borderId="0" xfId="0" applyNumberFormat="1" applyFont="1" applyFill="1" applyBorder="1" applyAlignment="1" applyProtection="1">
      <alignment horizontal="center"/>
    </xf>
    <xf numFmtId="3" fontId="9" fillId="0" borderId="0" xfId="0" applyNumberFormat="1" applyFont="1" applyFill="1" applyBorder="1" applyAlignment="1" applyProtection="1">
      <alignment horizontal="center"/>
    </xf>
    <xf numFmtId="165" fontId="9" fillId="0" borderId="0" xfId="0" applyNumberFormat="1" applyFont="1" applyFill="1" applyBorder="1" applyAlignment="1" applyProtection="1">
      <alignment horizontal="center"/>
    </xf>
    <xf numFmtId="166" fontId="9" fillId="0" borderId="0" xfId="0" applyNumberFormat="1" applyFont="1" applyFill="1" applyBorder="1" applyAlignment="1" applyProtection="1">
      <alignment horizontal="center"/>
    </xf>
    <xf numFmtId="0" fontId="9" fillId="0" borderId="0" xfId="0" applyFont="1" applyFill="1" applyBorder="1" applyAlignment="1" applyProtection="1">
      <alignment horizontal="center"/>
    </xf>
    <xf numFmtId="167" fontId="9" fillId="0" borderId="0" xfId="0" applyNumberFormat="1" applyFont="1" applyFill="1" applyBorder="1" applyAlignment="1" applyProtection="1">
      <alignment horizontal="center"/>
    </xf>
    <xf numFmtId="166" fontId="9" fillId="0" borderId="0" xfId="0" applyNumberFormat="1" applyFont="1" applyBorder="1" applyAlignment="1" applyProtection="1">
      <alignment horizontal="center"/>
    </xf>
    <xf numFmtId="0" fontId="1" fillId="0" borderId="0" xfId="0" applyFont="1" applyFill="1" applyBorder="1" applyAlignment="1" applyProtection="1">
      <alignment horizontal="center" vertical="justify"/>
    </xf>
    <xf numFmtId="0" fontId="1" fillId="0" borderId="0" xfId="0" quotePrefix="1" applyFont="1" applyFill="1" applyBorder="1" applyAlignment="1" applyProtection="1">
      <alignment horizontal="center"/>
    </xf>
    <xf numFmtId="0" fontId="1" fillId="0" borderId="0" xfId="0" applyFont="1" applyFill="1" applyBorder="1" applyAlignment="1" applyProtection="1">
      <alignment horizontal="center"/>
    </xf>
    <xf numFmtId="0" fontId="15" fillId="0" borderId="0" xfId="0" applyNumberFormat="1" applyFont="1" applyProtection="1"/>
    <xf numFmtId="0" fontId="15" fillId="0" borderId="0" xfId="0" applyNumberFormat="1" applyFont="1" applyFill="1" applyBorder="1" applyProtection="1"/>
    <xf numFmtId="0" fontId="15" fillId="0" borderId="7" xfId="0" applyFont="1" applyBorder="1" applyProtection="1"/>
    <xf numFmtId="0" fontId="15" fillId="0" borderId="8" xfId="0" applyFont="1" applyBorder="1" applyProtection="1"/>
    <xf numFmtId="0" fontId="15" fillId="0" borderId="0" xfId="0" applyFont="1" applyFill="1" applyBorder="1" applyProtection="1"/>
    <xf numFmtId="0" fontId="1" fillId="0" borderId="0" xfId="0" applyNumberFormat="1" applyFont="1" applyFill="1" applyBorder="1" applyAlignment="1" applyProtection="1">
      <alignment horizontal="center"/>
    </xf>
    <xf numFmtId="166" fontId="1" fillId="0" borderId="0" xfId="0" applyNumberFormat="1" applyFont="1" applyFill="1" applyBorder="1" applyAlignment="1" applyProtection="1">
      <alignment horizontal="center" wrapText="1"/>
      <protection hidden="1"/>
    </xf>
    <xf numFmtId="0" fontId="15" fillId="0" borderId="5" xfId="0" applyFont="1" applyBorder="1" applyProtection="1"/>
    <xf numFmtId="3" fontId="14" fillId="0" borderId="9" xfId="0" applyNumberFormat="1" applyFont="1" applyFill="1" applyBorder="1" applyAlignment="1" applyProtection="1">
      <alignment horizontal="center"/>
    </xf>
    <xf numFmtId="0" fontId="14" fillId="0" borderId="0" xfId="0" applyFont="1" applyBorder="1" applyProtection="1"/>
    <xf numFmtId="3" fontId="14" fillId="0" borderId="0" xfId="0" applyNumberFormat="1" applyFont="1" applyFill="1" applyBorder="1" applyAlignment="1" applyProtection="1">
      <alignment horizontal="left" indent="2"/>
    </xf>
    <xf numFmtId="0" fontId="15" fillId="0" borderId="10" xfId="0" applyFont="1" applyFill="1" applyBorder="1" applyProtection="1"/>
    <xf numFmtId="0" fontId="15" fillId="0" borderId="10" xfId="0" applyFont="1" applyBorder="1" applyProtection="1"/>
    <xf numFmtId="166" fontId="1" fillId="0" borderId="0" xfId="0" applyNumberFormat="1" applyFont="1" applyFill="1" applyBorder="1" applyAlignment="1" applyProtection="1">
      <alignment horizontal="center" wrapText="1"/>
    </xf>
    <xf numFmtId="181" fontId="1" fillId="0" borderId="0" xfId="0" applyNumberFormat="1" applyFont="1" applyFill="1" applyBorder="1" applyAlignment="1" applyProtection="1">
      <alignment horizontal="center" wrapText="1"/>
    </xf>
    <xf numFmtId="181" fontId="1" fillId="0" borderId="0" xfId="0" applyNumberFormat="1" applyFont="1" applyFill="1" applyBorder="1" applyAlignment="1" applyProtection="1">
      <alignment horizontal="center" wrapText="1"/>
      <protection hidden="1"/>
    </xf>
    <xf numFmtId="175" fontId="1" fillId="0" borderId="0" xfId="0" applyNumberFormat="1" applyFont="1" applyFill="1" applyBorder="1" applyAlignment="1" applyProtection="1">
      <alignment horizontal="center" wrapText="1"/>
    </xf>
    <xf numFmtId="175" fontId="1" fillId="0" borderId="0" xfId="0" applyNumberFormat="1" applyFont="1" applyFill="1" applyBorder="1" applyAlignment="1" applyProtection="1">
      <alignment horizontal="center" wrapText="1"/>
      <protection hidden="1"/>
    </xf>
    <xf numFmtId="0" fontId="31" fillId="0" borderId="0" xfId="0" applyFont="1" applyFill="1" applyBorder="1" applyAlignment="1" applyProtection="1">
      <alignment horizontal="center" wrapText="1"/>
    </xf>
    <xf numFmtId="181" fontId="15" fillId="0" borderId="0" xfId="0" applyNumberFormat="1" applyFont="1" applyFill="1" applyBorder="1" applyAlignment="1" applyProtection="1">
      <alignment horizontal="center" wrapText="1"/>
    </xf>
    <xf numFmtId="175" fontId="15" fillId="0" borderId="0" xfId="0" applyNumberFormat="1" applyFont="1" applyFill="1" applyBorder="1" applyAlignment="1" applyProtection="1">
      <alignment horizontal="center" wrapText="1"/>
    </xf>
    <xf numFmtId="166" fontId="15" fillId="0" borderId="0" xfId="0" applyNumberFormat="1" applyFont="1" applyFill="1" applyBorder="1" applyAlignment="1" applyProtection="1">
      <alignment horizontal="center" wrapText="1"/>
    </xf>
    <xf numFmtId="0" fontId="0" fillId="0" borderId="0" xfId="0" applyProtection="1"/>
    <xf numFmtId="0" fontId="22" fillId="0" borderId="0" xfId="0" applyFont="1" applyProtection="1"/>
    <xf numFmtId="0" fontId="3" fillId="0" borderId="0" xfId="0" applyFont="1" applyBorder="1" applyAlignment="1" applyProtection="1"/>
    <xf numFmtId="49" fontId="9" fillId="0" borderId="0" xfId="0" applyNumberFormat="1" applyFont="1" applyFill="1" applyBorder="1" applyAlignment="1" applyProtection="1">
      <alignment horizontal="center"/>
    </xf>
    <xf numFmtId="0" fontId="1" fillId="2" borderId="0" xfId="0" applyFont="1" applyFill="1" applyBorder="1" applyAlignment="1" applyProtection="1">
      <alignment horizontal="center" wrapText="1"/>
      <protection hidden="1"/>
    </xf>
    <xf numFmtId="0" fontId="1" fillId="2" borderId="0" xfId="0" applyFont="1" applyFill="1" applyBorder="1" applyAlignment="1" applyProtection="1">
      <protection hidden="1"/>
    </xf>
    <xf numFmtId="0" fontId="1" fillId="3" borderId="0" xfId="0" applyFont="1" applyFill="1" applyBorder="1" applyAlignment="1" applyProtection="1">
      <alignment horizontal="center"/>
      <protection hidden="1"/>
    </xf>
    <xf numFmtId="0" fontId="15" fillId="0" borderId="0" xfId="0" applyFont="1" applyProtection="1">
      <protection hidden="1"/>
    </xf>
    <xf numFmtId="0" fontId="15" fillId="0" borderId="0" xfId="0" applyNumberFormat="1" applyFont="1" applyProtection="1">
      <protection hidden="1"/>
    </xf>
    <xf numFmtId="0" fontId="0" fillId="0" borderId="0" xfId="0" applyProtection="1">
      <protection hidden="1"/>
    </xf>
    <xf numFmtId="0" fontId="1" fillId="2" borderId="5" xfId="0" applyFont="1" applyFill="1" applyBorder="1" applyAlignment="1" applyProtection="1">
      <alignment horizontal="center"/>
      <protection hidden="1"/>
    </xf>
    <xf numFmtId="0" fontId="1" fillId="2" borderId="5" xfId="0" applyFont="1" applyFill="1" applyBorder="1" applyAlignment="1" applyProtection="1">
      <protection hidden="1"/>
    </xf>
    <xf numFmtId="0" fontId="1" fillId="4" borderId="5" xfId="0" applyFont="1" applyFill="1" applyBorder="1" applyAlignment="1" applyProtection="1">
      <alignment horizontal="center"/>
      <protection hidden="1"/>
    </xf>
    <xf numFmtId="0" fontId="15" fillId="0" borderId="0" xfId="0" applyNumberFormat="1" applyFont="1" applyFill="1" applyBorder="1" applyProtection="1">
      <protection hidden="1"/>
    </xf>
    <xf numFmtId="0" fontId="1" fillId="2" borderId="6" xfId="0" applyFont="1" applyFill="1" applyBorder="1" applyAlignment="1" applyProtection="1">
      <alignment horizontal="center"/>
      <protection hidden="1"/>
    </xf>
    <xf numFmtId="0" fontId="1" fillId="2" borderId="11" xfId="0" applyFont="1" applyFill="1" applyBorder="1" applyAlignment="1" applyProtection="1">
      <alignment horizontal="center"/>
      <protection hidden="1"/>
    </xf>
    <xf numFmtId="0" fontId="1" fillId="2" borderId="12" xfId="0" applyFont="1" applyFill="1" applyBorder="1" applyAlignment="1" applyProtection="1">
      <alignment horizontal="center"/>
      <protection hidden="1"/>
    </xf>
    <xf numFmtId="0" fontId="1" fillId="2" borderId="13" xfId="0" applyFont="1" applyFill="1" applyBorder="1" applyAlignment="1" applyProtection="1">
      <alignment horizontal="center"/>
      <protection hidden="1"/>
    </xf>
    <xf numFmtId="0" fontId="1" fillId="4" borderId="12" xfId="0" applyFont="1" applyFill="1" applyBorder="1" applyAlignment="1" applyProtection="1">
      <alignment horizontal="center"/>
      <protection hidden="1"/>
    </xf>
    <xf numFmtId="0" fontId="1" fillId="4" borderId="6" xfId="0" applyFont="1" applyFill="1" applyBorder="1" applyAlignment="1" applyProtection="1">
      <alignment horizontal="center"/>
      <protection hidden="1"/>
    </xf>
    <xf numFmtId="0" fontId="1" fillId="4" borderId="14" xfId="0" applyFont="1" applyFill="1" applyBorder="1" applyAlignment="1" applyProtection="1">
      <alignment horizontal="center"/>
      <protection hidden="1"/>
    </xf>
    <xf numFmtId="0" fontId="15" fillId="3" borderId="15" xfId="0" applyFont="1" applyFill="1" applyBorder="1" applyProtection="1">
      <protection hidden="1"/>
    </xf>
    <xf numFmtId="0" fontId="1" fillId="2" borderId="0" xfId="0" applyFont="1" applyFill="1" applyBorder="1" applyAlignment="1" applyProtection="1">
      <alignment horizontal="center"/>
      <protection hidden="1"/>
    </xf>
    <xf numFmtId="3" fontId="1" fillId="2" borderId="0" xfId="0" applyNumberFormat="1" applyFont="1" applyFill="1" applyBorder="1" applyAlignment="1" applyProtection="1">
      <alignment horizontal="center"/>
      <protection hidden="1"/>
    </xf>
    <xf numFmtId="3" fontId="1" fillId="2" borderId="16" xfId="0" applyNumberFormat="1" applyFont="1" applyFill="1" applyBorder="1" applyAlignment="1" applyProtection="1">
      <alignment horizontal="center"/>
      <protection hidden="1"/>
    </xf>
    <xf numFmtId="0" fontId="1" fillId="2" borderId="17" xfId="0" applyFont="1" applyFill="1" applyBorder="1" applyAlignment="1" applyProtection="1">
      <alignment horizontal="center"/>
      <protection hidden="1"/>
    </xf>
    <xf numFmtId="0" fontId="1" fillId="2" borderId="18" xfId="0" applyFont="1" applyFill="1" applyBorder="1" applyAlignment="1" applyProtection="1">
      <alignment horizontal="center"/>
      <protection hidden="1"/>
    </xf>
    <xf numFmtId="0" fontId="1" fillId="2" borderId="4" xfId="0" applyFont="1" applyFill="1" applyBorder="1" applyAlignment="1" applyProtection="1">
      <alignment horizontal="center"/>
      <protection hidden="1"/>
    </xf>
    <xf numFmtId="0" fontId="1" fillId="4" borderId="17" xfId="0" applyFont="1" applyFill="1" applyBorder="1" applyAlignment="1" applyProtection="1">
      <alignment horizontal="center" wrapText="1"/>
      <protection hidden="1"/>
    </xf>
    <xf numFmtId="0" fontId="1" fillId="4" borderId="19" xfId="0" applyFont="1" applyFill="1" applyBorder="1" applyAlignment="1" applyProtection="1">
      <alignment horizontal="center"/>
      <protection hidden="1"/>
    </xf>
    <xf numFmtId="0" fontId="1" fillId="3" borderId="20" xfId="0" applyFont="1" applyFill="1" applyBorder="1" applyAlignment="1" applyProtection="1">
      <alignment horizontal="center"/>
      <protection hidden="1"/>
    </xf>
    <xf numFmtId="168" fontId="1" fillId="3" borderId="21" xfId="0" applyNumberFormat="1" applyFont="1" applyFill="1" applyBorder="1" applyAlignment="1" applyProtection="1">
      <alignment horizontal="center"/>
      <protection hidden="1"/>
    </xf>
    <xf numFmtId="168" fontId="1" fillId="3" borderId="9" xfId="0" applyNumberFormat="1" applyFont="1" applyFill="1" applyBorder="1" applyAlignment="1" applyProtection="1">
      <alignment horizontal="center"/>
      <protection hidden="1"/>
    </xf>
    <xf numFmtId="168" fontId="1" fillId="3" borderId="22" xfId="0" applyNumberFormat="1" applyFont="1" applyFill="1" applyBorder="1" applyAlignment="1" applyProtection="1">
      <alignment horizontal="center"/>
      <protection hidden="1"/>
    </xf>
    <xf numFmtId="168" fontId="1" fillId="3" borderId="23" xfId="0" applyNumberFormat="1" applyFont="1" applyFill="1" applyBorder="1" applyAlignment="1" applyProtection="1">
      <alignment horizontal="center"/>
      <protection hidden="1"/>
    </xf>
    <xf numFmtId="168" fontId="1" fillId="3" borderId="24" xfId="0" applyNumberFormat="1" applyFont="1" applyFill="1" applyBorder="1" applyAlignment="1" applyProtection="1">
      <alignment horizontal="center"/>
      <protection hidden="1"/>
    </xf>
    <xf numFmtId="0" fontId="14" fillId="0" borderId="0" xfId="0" applyNumberFormat="1" applyFont="1" applyFill="1" applyBorder="1" applyAlignment="1" applyProtection="1">
      <alignment horizontal="center"/>
      <protection hidden="1"/>
    </xf>
    <xf numFmtId="3" fontId="14" fillId="0" borderId="25" xfId="0" applyNumberFormat="1" applyFont="1" applyBorder="1" applyAlignment="1" applyProtection="1">
      <alignment horizontal="center"/>
      <protection hidden="1"/>
    </xf>
    <xf numFmtId="0" fontId="14" fillId="0" borderId="26" xfId="0" applyFont="1" applyFill="1" applyBorder="1" applyAlignment="1" applyProtection="1">
      <alignment horizontal="center"/>
      <protection hidden="1"/>
    </xf>
    <xf numFmtId="0" fontId="16" fillId="0" borderId="27" xfId="0" applyFont="1" applyFill="1" applyBorder="1" applyAlignment="1" applyProtection="1">
      <alignment horizontal="center"/>
      <protection hidden="1"/>
    </xf>
    <xf numFmtId="171" fontId="14" fillId="0" borderId="25" xfId="0" applyNumberFormat="1" applyFont="1" applyFill="1" applyBorder="1" applyAlignment="1" applyProtection="1">
      <alignment horizontal="center"/>
      <protection hidden="1"/>
    </xf>
    <xf numFmtId="178" fontId="14" fillId="0" borderId="25" xfId="0" applyNumberFormat="1" applyFont="1" applyFill="1" applyBorder="1" applyAlignment="1" applyProtection="1">
      <alignment horizontal="center"/>
      <protection hidden="1"/>
    </xf>
    <xf numFmtId="166" fontId="14" fillId="0" borderId="26" xfId="0" applyNumberFormat="1" applyFont="1" applyFill="1" applyBorder="1" applyAlignment="1" applyProtection="1">
      <alignment horizontal="center"/>
      <protection hidden="1"/>
    </xf>
    <xf numFmtId="175" fontId="17" fillId="5" borderId="25" xfId="0" applyNumberFormat="1" applyFont="1" applyFill="1" applyBorder="1" applyAlignment="1" applyProtection="1">
      <alignment horizontal="center"/>
      <protection hidden="1"/>
    </xf>
    <xf numFmtId="165" fontId="1" fillId="0" borderId="28" xfId="0" applyNumberFormat="1" applyFont="1" applyBorder="1" applyAlignment="1" applyProtection="1">
      <alignment horizontal="center"/>
      <protection hidden="1"/>
    </xf>
    <xf numFmtId="172" fontId="1" fillId="0" borderId="29" xfId="0" applyNumberFormat="1" applyFont="1" applyBorder="1" applyAlignment="1" applyProtection="1">
      <alignment horizontal="center"/>
      <protection hidden="1"/>
    </xf>
    <xf numFmtId="173" fontId="1" fillId="0" borderId="29" xfId="0" applyNumberFormat="1" applyFont="1" applyFill="1" applyBorder="1" applyAlignment="1" applyProtection="1">
      <alignment horizontal="center"/>
      <protection hidden="1"/>
    </xf>
    <xf numFmtId="173" fontId="1" fillId="0" borderId="30" xfId="0" applyNumberFormat="1" applyFont="1" applyBorder="1" applyAlignment="1" applyProtection="1">
      <alignment horizontal="center"/>
      <protection hidden="1"/>
    </xf>
    <xf numFmtId="169" fontId="1" fillId="0" borderId="31" xfId="0" applyNumberFormat="1" applyFont="1" applyBorder="1" applyAlignment="1" applyProtection="1">
      <alignment horizontal="center"/>
      <protection hidden="1"/>
    </xf>
    <xf numFmtId="170" fontId="1" fillId="0" borderId="32" xfId="0" applyNumberFormat="1" applyFont="1" applyBorder="1" applyAlignment="1" applyProtection="1">
      <alignment horizontal="center"/>
      <protection hidden="1"/>
    </xf>
    <xf numFmtId="169" fontId="19" fillId="0" borderId="28" xfId="0" applyNumberFormat="1" applyFont="1" applyBorder="1" applyAlignment="1" applyProtection="1">
      <alignment horizontal="center"/>
      <protection hidden="1"/>
    </xf>
    <xf numFmtId="166" fontId="1" fillId="0" borderId="33" xfId="0" applyNumberFormat="1" applyFont="1" applyBorder="1" applyAlignment="1" applyProtection="1">
      <alignment horizontal="center"/>
      <protection hidden="1"/>
    </xf>
    <xf numFmtId="169" fontId="19" fillId="0" borderId="34" xfId="0" applyNumberFormat="1" applyFont="1" applyFill="1" applyBorder="1" applyAlignment="1" applyProtection="1">
      <alignment horizontal="center"/>
      <protection hidden="1"/>
    </xf>
    <xf numFmtId="164" fontId="29" fillId="0" borderId="33" xfId="0" applyNumberFormat="1" applyFont="1" applyFill="1" applyBorder="1" applyAlignment="1" applyProtection="1">
      <alignment horizontal="center"/>
      <protection hidden="1"/>
    </xf>
    <xf numFmtId="164" fontId="1" fillId="0" borderId="28" xfId="0" applyNumberFormat="1" applyFont="1" applyFill="1" applyBorder="1" applyAlignment="1" applyProtection="1">
      <alignment horizontal="center"/>
      <protection hidden="1"/>
    </xf>
    <xf numFmtId="0" fontId="15" fillId="0" borderId="0" xfId="0" applyNumberFormat="1" applyFont="1" applyFill="1" applyBorder="1" applyAlignment="1" applyProtection="1">
      <alignment horizontal="center"/>
      <protection hidden="1"/>
    </xf>
    <xf numFmtId="3" fontId="14" fillId="0" borderId="26" xfId="0" applyNumberFormat="1" applyFont="1" applyBorder="1" applyAlignment="1" applyProtection="1">
      <alignment horizontal="center"/>
      <protection hidden="1"/>
    </xf>
    <xf numFmtId="0" fontId="16" fillId="0" borderId="35" xfId="0" applyFont="1" applyFill="1" applyBorder="1" applyAlignment="1" applyProtection="1">
      <alignment horizontal="center"/>
      <protection hidden="1"/>
    </xf>
    <xf numFmtId="171" fontId="14" fillId="0" borderId="26" xfId="0" applyNumberFormat="1" applyFont="1" applyFill="1" applyBorder="1" applyAlignment="1" applyProtection="1">
      <alignment horizontal="center"/>
      <protection hidden="1"/>
    </xf>
    <xf numFmtId="178" fontId="14" fillId="0" borderId="26" xfId="0" applyNumberFormat="1" applyFont="1" applyFill="1" applyBorder="1" applyAlignment="1" applyProtection="1">
      <alignment horizontal="center"/>
      <protection hidden="1"/>
    </xf>
    <xf numFmtId="175" fontId="17" fillId="5" borderId="26" xfId="0" applyNumberFormat="1" applyFont="1" applyFill="1" applyBorder="1" applyAlignment="1" applyProtection="1">
      <alignment horizontal="center"/>
      <protection hidden="1"/>
    </xf>
    <xf numFmtId="165" fontId="1" fillId="0" borderId="36" xfId="0" applyNumberFormat="1" applyFont="1" applyBorder="1" applyAlignment="1" applyProtection="1">
      <alignment horizontal="center"/>
      <protection hidden="1"/>
    </xf>
    <xf numFmtId="173" fontId="1" fillId="0" borderId="26" xfId="0" applyNumberFormat="1" applyFont="1" applyFill="1" applyBorder="1" applyAlignment="1" applyProtection="1">
      <alignment horizontal="center"/>
      <protection hidden="1"/>
    </xf>
    <xf numFmtId="173" fontId="1" fillId="0" borderId="36" xfId="0" applyNumberFormat="1" applyFont="1" applyBorder="1" applyAlignment="1" applyProtection="1">
      <alignment horizontal="center"/>
      <protection hidden="1"/>
    </xf>
    <xf numFmtId="170" fontId="1" fillId="0" borderId="37" xfId="0" applyNumberFormat="1" applyFont="1" applyBorder="1" applyAlignment="1" applyProtection="1">
      <alignment horizontal="center"/>
      <protection hidden="1"/>
    </xf>
    <xf numFmtId="169" fontId="19" fillId="0" borderId="36" xfId="0" applyNumberFormat="1" applyFont="1" applyBorder="1" applyAlignment="1" applyProtection="1">
      <alignment horizontal="center"/>
      <protection hidden="1"/>
    </xf>
    <xf numFmtId="166" fontId="1" fillId="0" borderId="38" xfId="0" applyNumberFormat="1" applyFont="1" applyBorder="1" applyAlignment="1" applyProtection="1">
      <alignment horizontal="center"/>
      <protection hidden="1"/>
    </xf>
    <xf numFmtId="169" fontId="19" fillId="0" borderId="39" xfId="0" applyNumberFormat="1" applyFont="1" applyFill="1" applyBorder="1" applyAlignment="1" applyProtection="1">
      <alignment horizontal="center"/>
      <protection hidden="1"/>
    </xf>
    <xf numFmtId="164" fontId="29" fillId="0" borderId="38" xfId="0" applyNumberFormat="1" applyFont="1" applyFill="1" applyBorder="1" applyAlignment="1" applyProtection="1">
      <alignment horizontal="center"/>
      <protection hidden="1"/>
    </xf>
    <xf numFmtId="164" fontId="1" fillId="0" borderId="36" xfId="0" applyNumberFormat="1" applyFont="1" applyFill="1" applyBorder="1" applyAlignment="1" applyProtection="1">
      <alignment horizontal="center"/>
      <protection hidden="1"/>
    </xf>
    <xf numFmtId="3" fontId="14" fillId="0" borderId="40" xfId="0" applyNumberFormat="1" applyFont="1" applyBorder="1" applyAlignment="1" applyProtection="1">
      <alignment horizontal="center"/>
      <protection hidden="1"/>
    </xf>
    <xf numFmtId="0" fontId="14" fillId="0" borderId="40" xfId="0" applyFont="1" applyFill="1" applyBorder="1" applyAlignment="1" applyProtection="1">
      <alignment horizontal="center"/>
      <protection hidden="1"/>
    </xf>
    <xf numFmtId="171" fontId="14" fillId="0" borderId="40" xfId="0" applyNumberFormat="1" applyFont="1" applyFill="1" applyBorder="1" applyAlignment="1" applyProtection="1">
      <alignment horizontal="center"/>
      <protection hidden="1"/>
    </xf>
    <xf numFmtId="166" fontId="14" fillId="0" borderId="40" xfId="0" applyNumberFormat="1" applyFont="1" applyFill="1" applyBorder="1" applyAlignment="1" applyProtection="1">
      <alignment horizontal="center"/>
      <protection hidden="1"/>
    </xf>
    <xf numFmtId="175" fontId="17" fillId="5" borderId="40" xfId="0" applyNumberFormat="1" applyFont="1" applyFill="1" applyBorder="1" applyAlignment="1" applyProtection="1">
      <alignment horizontal="center"/>
      <protection hidden="1"/>
    </xf>
    <xf numFmtId="165" fontId="1" fillId="0" borderId="41" xfId="0" applyNumberFormat="1" applyFont="1" applyBorder="1" applyAlignment="1" applyProtection="1">
      <alignment horizontal="center"/>
      <protection hidden="1"/>
    </xf>
    <xf numFmtId="172" fontId="1" fillId="0" borderId="18" xfId="0" applyNumberFormat="1" applyFont="1" applyBorder="1" applyAlignment="1" applyProtection="1">
      <alignment horizontal="center"/>
      <protection hidden="1"/>
    </xf>
    <xf numFmtId="173" fontId="1" fillId="0" borderId="40" xfId="0" applyNumberFormat="1" applyFont="1" applyFill="1" applyBorder="1" applyAlignment="1" applyProtection="1">
      <alignment horizontal="center"/>
      <protection hidden="1"/>
    </xf>
    <xf numFmtId="173" fontId="1" fillId="0" borderId="41" xfId="0" applyNumberFormat="1" applyFont="1" applyBorder="1" applyAlignment="1" applyProtection="1">
      <alignment horizontal="center"/>
      <protection hidden="1"/>
    </xf>
    <xf numFmtId="169" fontId="1" fillId="0" borderId="42" xfId="0" applyNumberFormat="1" applyFont="1" applyBorder="1" applyAlignment="1" applyProtection="1">
      <alignment horizontal="center"/>
      <protection hidden="1"/>
    </xf>
    <xf numFmtId="170" fontId="1" fillId="0" borderId="43" xfId="0" applyNumberFormat="1" applyFont="1" applyBorder="1" applyAlignment="1" applyProtection="1">
      <alignment horizontal="center"/>
      <protection hidden="1"/>
    </xf>
    <xf numFmtId="169" fontId="19" fillId="0" borderId="41" xfId="0" applyNumberFormat="1" applyFont="1" applyBorder="1" applyAlignment="1" applyProtection="1">
      <alignment horizontal="center"/>
      <protection hidden="1"/>
    </xf>
    <xf numFmtId="166" fontId="1" fillId="0" borderId="23" xfId="0" applyNumberFormat="1" applyFont="1" applyBorder="1" applyAlignment="1" applyProtection="1">
      <alignment horizontal="center"/>
      <protection hidden="1"/>
    </xf>
    <xf numFmtId="169" fontId="19" fillId="0" borderId="44" xfId="0" applyNumberFormat="1" applyFont="1" applyFill="1" applyBorder="1" applyAlignment="1" applyProtection="1">
      <alignment horizontal="center"/>
      <protection hidden="1"/>
    </xf>
    <xf numFmtId="3" fontId="14" fillId="0" borderId="45" xfId="0" applyNumberFormat="1" applyFont="1" applyBorder="1" applyAlignment="1" applyProtection="1">
      <alignment horizontal="center"/>
      <protection hidden="1"/>
    </xf>
    <xf numFmtId="0" fontId="14" fillId="0" borderId="45" xfId="0" applyFont="1" applyFill="1" applyBorder="1" applyAlignment="1" applyProtection="1">
      <alignment horizontal="center"/>
      <protection hidden="1"/>
    </xf>
    <xf numFmtId="171" fontId="14" fillId="0" borderId="45" xfId="0" applyNumberFormat="1" applyFont="1" applyFill="1" applyBorder="1" applyAlignment="1" applyProtection="1">
      <alignment horizontal="center"/>
      <protection hidden="1"/>
    </xf>
    <xf numFmtId="178" fontId="14" fillId="0" borderId="45" xfId="0" applyNumberFormat="1" applyFont="1" applyFill="1" applyBorder="1" applyAlignment="1" applyProtection="1">
      <alignment horizontal="center"/>
      <protection hidden="1"/>
    </xf>
    <xf numFmtId="166" fontId="14" fillId="0" borderId="45" xfId="0" applyNumberFormat="1" applyFont="1" applyFill="1" applyBorder="1" applyAlignment="1" applyProtection="1">
      <alignment horizontal="center"/>
      <protection hidden="1"/>
    </xf>
    <xf numFmtId="175" fontId="17" fillId="5" borderId="45" xfId="0" applyNumberFormat="1" applyFont="1" applyFill="1" applyBorder="1" applyAlignment="1" applyProtection="1">
      <alignment horizontal="center"/>
      <protection hidden="1"/>
    </xf>
    <xf numFmtId="165" fontId="1" fillId="0" borderId="9" xfId="0" applyNumberFormat="1" applyFont="1" applyBorder="1" applyAlignment="1" applyProtection="1">
      <alignment horizontal="center"/>
      <protection hidden="1"/>
    </xf>
    <xf numFmtId="172" fontId="1" fillId="0" borderId="17" xfId="0" applyNumberFormat="1" applyFont="1" applyBorder="1" applyAlignment="1" applyProtection="1">
      <alignment horizontal="center"/>
      <protection hidden="1"/>
    </xf>
    <xf numFmtId="173" fontId="1" fillId="0" borderId="45" xfId="0" applyNumberFormat="1" applyFont="1" applyFill="1" applyBorder="1" applyAlignment="1" applyProtection="1">
      <alignment horizontal="center"/>
      <protection hidden="1"/>
    </xf>
    <xf numFmtId="173" fontId="1" fillId="0" borderId="9" xfId="0" applyNumberFormat="1" applyFont="1" applyBorder="1" applyAlignment="1" applyProtection="1">
      <alignment horizontal="center"/>
      <protection hidden="1"/>
    </xf>
    <xf numFmtId="169" fontId="1" fillId="0" borderId="46" xfId="0" applyNumberFormat="1" applyFont="1" applyBorder="1" applyAlignment="1" applyProtection="1">
      <alignment horizontal="center"/>
      <protection hidden="1"/>
    </xf>
    <xf numFmtId="170" fontId="1" fillId="0" borderId="21" xfId="0" applyNumberFormat="1" applyFont="1" applyBorder="1" applyAlignment="1" applyProtection="1">
      <alignment horizontal="center"/>
      <protection hidden="1"/>
    </xf>
    <xf numFmtId="169" fontId="19" fillId="0" borderId="9" xfId="0" applyNumberFormat="1" applyFont="1" applyBorder="1" applyAlignment="1" applyProtection="1">
      <alignment horizontal="center"/>
      <protection hidden="1"/>
    </xf>
    <xf numFmtId="166" fontId="1" fillId="0" borderId="22" xfId="0" applyNumberFormat="1" applyFont="1" applyBorder="1" applyAlignment="1" applyProtection="1">
      <alignment horizontal="center"/>
      <protection hidden="1"/>
    </xf>
    <xf numFmtId="169" fontId="19" fillId="0" borderId="47" xfId="0" applyNumberFormat="1" applyFont="1" applyFill="1" applyBorder="1" applyAlignment="1" applyProtection="1">
      <alignment horizontal="center"/>
      <protection hidden="1"/>
    </xf>
    <xf numFmtId="164" fontId="29" fillId="0" borderId="22" xfId="0" applyNumberFormat="1" applyFont="1" applyFill="1" applyBorder="1" applyAlignment="1" applyProtection="1">
      <alignment horizontal="center"/>
      <protection hidden="1"/>
    </xf>
    <xf numFmtId="164" fontId="1" fillId="0" borderId="9" xfId="0" applyNumberFormat="1" applyFont="1" applyFill="1" applyBorder="1" applyAlignment="1" applyProtection="1">
      <alignment horizontal="center"/>
      <protection hidden="1"/>
    </xf>
    <xf numFmtId="0" fontId="1" fillId="0" borderId="0" xfId="0" applyFont="1" applyFill="1" applyBorder="1" applyAlignment="1" applyProtection="1">
      <alignment horizontal="center"/>
      <protection hidden="1"/>
    </xf>
    <xf numFmtId="167" fontId="14" fillId="0" borderId="0" xfId="0" applyNumberFormat="1" applyFont="1" applyBorder="1" applyAlignment="1" applyProtection="1">
      <alignment horizontal="center"/>
      <protection hidden="1"/>
    </xf>
    <xf numFmtId="3" fontId="14" fillId="0" borderId="0" xfId="0" applyNumberFormat="1" applyFont="1" applyBorder="1" applyAlignment="1" applyProtection="1">
      <alignment horizontal="center"/>
      <protection hidden="1"/>
    </xf>
    <xf numFmtId="0" fontId="14" fillId="0" borderId="0" xfId="0" applyFont="1" applyFill="1" applyBorder="1" applyAlignment="1" applyProtection="1">
      <alignment horizontal="center"/>
      <protection hidden="1"/>
    </xf>
    <xf numFmtId="0" fontId="16" fillId="0" borderId="0" xfId="0" applyFont="1" applyFill="1" applyBorder="1" applyAlignment="1" applyProtection="1">
      <alignment horizontal="center"/>
      <protection hidden="1"/>
    </xf>
    <xf numFmtId="171" fontId="14" fillId="0" borderId="0" xfId="0" applyNumberFormat="1" applyFont="1" applyFill="1" applyBorder="1" applyAlignment="1" applyProtection="1">
      <alignment horizontal="center"/>
      <protection hidden="1"/>
    </xf>
    <xf numFmtId="166" fontId="14" fillId="0" borderId="0" xfId="0" applyNumberFormat="1" applyFont="1" applyFill="1" applyBorder="1" applyAlignment="1" applyProtection="1">
      <alignment horizontal="center"/>
      <protection hidden="1"/>
    </xf>
    <xf numFmtId="175" fontId="17" fillId="0" borderId="0" xfId="0" applyNumberFormat="1" applyFont="1" applyFill="1" applyBorder="1" applyAlignment="1" applyProtection="1">
      <alignment horizontal="center"/>
      <protection hidden="1"/>
    </xf>
    <xf numFmtId="165" fontId="1" fillId="0" borderId="0" xfId="0" applyNumberFormat="1" applyFont="1" applyFill="1" applyBorder="1" applyAlignment="1" applyProtection="1">
      <alignment horizontal="center"/>
      <protection hidden="1"/>
    </xf>
    <xf numFmtId="177" fontId="1" fillId="0" borderId="0" xfId="0" applyNumberFormat="1" applyFont="1" applyBorder="1" applyAlignment="1" applyProtection="1">
      <alignment horizontal="center"/>
      <protection hidden="1"/>
    </xf>
    <xf numFmtId="173" fontId="1" fillId="0" borderId="0" xfId="0" applyNumberFormat="1" applyFont="1" applyFill="1" applyBorder="1" applyAlignment="1" applyProtection="1">
      <alignment horizontal="center"/>
      <protection hidden="1"/>
    </xf>
    <xf numFmtId="173" fontId="1" fillId="0" borderId="0" xfId="0" applyNumberFormat="1" applyFont="1" applyBorder="1" applyAlignment="1" applyProtection="1">
      <alignment horizontal="center"/>
      <protection hidden="1"/>
    </xf>
    <xf numFmtId="169" fontId="1" fillId="0" borderId="0" xfId="0" applyNumberFormat="1" applyFont="1" applyBorder="1" applyAlignment="1" applyProtection="1">
      <alignment horizontal="center"/>
      <protection hidden="1"/>
    </xf>
    <xf numFmtId="170" fontId="1" fillId="0" borderId="0" xfId="0" applyNumberFormat="1" applyFont="1" applyBorder="1" applyAlignment="1" applyProtection="1">
      <alignment horizontal="center"/>
      <protection hidden="1"/>
    </xf>
    <xf numFmtId="169" fontId="19" fillId="0" borderId="0" xfId="0" applyNumberFormat="1" applyFont="1" applyBorder="1" applyAlignment="1" applyProtection="1">
      <alignment horizontal="center"/>
      <protection hidden="1"/>
    </xf>
    <xf numFmtId="169" fontId="19" fillId="0" borderId="0" xfId="0" applyNumberFormat="1" applyFont="1" applyFill="1" applyBorder="1" applyAlignment="1" applyProtection="1">
      <alignment horizontal="center"/>
      <protection hidden="1"/>
    </xf>
    <xf numFmtId="0" fontId="15" fillId="0" borderId="0" xfId="0" applyFont="1" applyBorder="1" applyProtection="1">
      <protection hidden="1"/>
    </xf>
    <xf numFmtId="0" fontId="1" fillId="0" borderId="0" xfId="0" applyFont="1" applyFill="1" applyBorder="1" applyAlignment="1" applyProtection="1">
      <protection hidden="1"/>
    </xf>
    <xf numFmtId="0" fontId="1" fillId="0" borderId="0" xfId="0" applyFont="1" applyFill="1" applyBorder="1" applyAlignment="1" applyProtection="1">
      <alignment horizontal="center" vertical="center"/>
      <protection hidden="1"/>
    </xf>
    <xf numFmtId="0" fontId="1" fillId="0" borderId="0" xfId="0" applyFont="1" applyFill="1" applyBorder="1" applyAlignment="1" applyProtection="1">
      <alignment wrapText="1"/>
    </xf>
    <xf numFmtId="167" fontId="14" fillId="0" borderId="0" xfId="0" applyNumberFormat="1" applyFont="1" applyFill="1" applyBorder="1" applyAlignment="1" applyProtection="1">
      <alignment horizontal="center"/>
      <protection hidden="1"/>
    </xf>
    <xf numFmtId="3" fontId="14" fillId="0" borderId="0" xfId="0" applyNumberFormat="1" applyFont="1" applyFill="1" applyBorder="1" applyAlignment="1" applyProtection="1">
      <alignment horizontal="center"/>
      <protection hidden="1"/>
    </xf>
    <xf numFmtId="177" fontId="1" fillId="0" borderId="0" xfId="0" applyNumberFormat="1" applyFont="1" applyFill="1" applyBorder="1" applyAlignment="1" applyProtection="1">
      <alignment horizontal="center"/>
      <protection hidden="1"/>
    </xf>
    <xf numFmtId="176" fontId="1" fillId="0" borderId="0" xfId="0" applyNumberFormat="1" applyFont="1" applyFill="1" applyBorder="1" applyAlignment="1" applyProtection="1">
      <alignment horizontal="center"/>
      <protection hidden="1"/>
    </xf>
    <xf numFmtId="172" fontId="1" fillId="0" borderId="0" xfId="0" applyNumberFormat="1" applyFont="1" applyFill="1" applyBorder="1" applyAlignment="1" applyProtection="1">
      <alignment horizontal="center"/>
      <protection hidden="1"/>
    </xf>
    <xf numFmtId="169" fontId="1" fillId="0" borderId="0" xfId="0" applyNumberFormat="1" applyFont="1" applyFill="1" applyBorder="1" applyAlignment="1" applyProtection="1">
      <alignment horizontal="center"/>
      <protection hidden="1"/>
    </xf>
    <xf numFmtId="170" fontId="1" fillId="0" borderId="0" xfId="0" applyNumberFormat="1" applyFont="1" applyFill="1" applyBorder="1" applyAlignment="1" applyProtection="1">
      <alignment horizontal="center"/>
      <protection hidden="1"/>
    </xf>
    <xf numFmtId="0" fontId="15" fillId="0" borderId="0" xfId="0" applyFont="1" applyFill="1" applyBorder="1" applyProtection="1">
      <protection hidden="1"/>
    </xf>
    <xf numFmtId="178" fontId="14" fillId="0" borderId="0" xfId="0" applyNumberFormat="1" applyFont="1" applyFill="1" applyBorder="1" applyAlignment="1" applyProtection="1">
      <alignment horizontal="center"/>
      <protection hidden="1"/>
    </xf>
    <xf numFmtId="2" fontId="14" fillId="0" borderId="0" xfId="0" applyNumberFormat="1"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wrapText="1"/>
      <protection hidden="1"/>
    </xf>
    <xf numFmtId="165" fontId="14" fillId="0" borderId="0" xfId="0" applyNumberFormat="1" applyFont="1" applyFill="1" applyBorder="1" applyAlignment="1" applyProtection="1">
      <alignment horizontal="center" vertical="center" wrapText="1"/>
      <protection hidden="1"/>
    </xf>
    <xf numFmtId="166" fontId="1" fillId="0" borderId="0" xfId="0" applyNumberFormat="1" applyFont="1" applyFill="1" applyBorder="1" applyAlignment="1" applyProtection="1">
      <alignment horizontal="center"/>
      <protection hidden="1"/>
    </xf>
    <xf numFmtId="164" fontId="29" fillId="0" borderId="0" xfId="0" applyNumberFormat="1" applyFont="1" applyFill="1" applyBorder="1" applyAlignment="1" applyProtection="1">
      <alignment horizontal="center"/>
      <protection hidden="1"/>
    </xf>
    <xf numFmtId="164" fontId="1" fillId="0" borderId="0" xfId="0" applyNumberFormat="1" applyFont="1" applyFill="1" applyBorder="1" applyAlignment="1" applyProtection="1">
      <alignment horizontal="center"/>
      <protection hidden="1"/>
    </xf>
    <xf numFmtId="49" fontId="1" fillId="0" borderId="0" xfId="0" applyNumberFormat="1" applyFont="1" applyFill="1" applyBorder="1" applyAlignment="1" applyProtection="1">
      <alignment horizontal="center"/>
      <protection hidden="1"/>
    </xf>
    <xf numFmtId="0" fontId="1" fillId="0" borderId="35" xfId="0" applyNumberFormat="1" applyFont="1" applyFill="1" applyBorder="1" applyAlignment="1" applyProtection="1">
      <protection hidden="1"/>
    </xf>
    <xf numFmtId="0" fontId="1" fillId="0" borderId="48" xfId="0" applyNumberFormat="1" applyFont="1" applyFill="1" applyBorder="1" applyAlignment="1" applyProtection="1">
      <protection hidden="1"/>
    </xf>
    <xf numFmtId="49" fontId="1" fillId="0" borderId="35" xfId="0" applyNumberFormat="1" applyFont="1" applyFill="1" applyBorder="1" applyAlignment="1" applyProtection="1">
      <protection hidden="1"/>
    </xf>
    <xf numFmtId="0" fontId="0" fillId="0" borderId="48" xfId="0" applyBorder="1" applyAlignment="1" applyProtection="1">
      <protection hidden="1"/>
    </xf>
    <xf numFmtId="49" fontId="1" fillId="0" borderId="26" xfId="0" applyNumberFormat="1" applyFont="1" applyFill="1" applyBorder="1" applyAlignment="1" applyProtection="1">
      <protection hidden="1"/>
    </xf>
    <xf numFmtId="167" fontId="14" fillId="0" borderId="32" xfId="0" applyNumberFormat="1" applyFont="1" applyBorder="1" applyAlignment="1" applyProtection="1">
      <alignment horizontal="center"/>
      <protection hidden="1"/>
    </xf>
    <xf numFmtId="167" fontId="14" fillId="0" borderId="37" xfId="0" applyNumberFormat="1" applyFont="1" applyBorder="1" applyAlignment="1" applyProtection="1">
      <alignment horizontal="center"/>
      <protection hidden="1"/>
    </xf>
    <xf numFmtId="167" fontId="14" fillId="0" borderId="43" xfId="0" applyNumberFormat="1" applyFont="1" applyBorder="1" applyAlignment="1" applyProtection="1">
      <alignment horizontal="center"/>
      <protection hidden="1"/>
    </xf>
    <xf numFmtId="167" fontId="14" fillId="0" borderId="21" xfId="0" applyNumberFormat="1" applyFont="1" applyBorder="1" applyAlignment="1" applyProtection="1">
      <alignment horizontal="center"/>
      <protection hidden="1"/>
    </xf>
    <xf numFmtId="0" fontId="1" fillId="0" borderId="27" xfId="0" applyNumberFormat="1" applyFont="1" applyFill="1" applyBorder="1" applyAlignment="1" applyProtection="1">
      <protection hidden="1"/>
    </xf>
    <xf numFmtId="0" fontId="1" fillId="0" borderId="49" xfId="0" applyNumberFormat="1" applyFont="1" applyFill="1" applyBorder="1" applyAlignment="1" applyProtection="1">
      <protection hidden="1"/>
    </xf>
    <xf numFmtId="0" fontId="1" fillId="0" borderId="50" xfId="0" applyNumberFormat="1" applyFont="1" applyFill="1" applyBorder="1" applyAlignment="1" applyProtection="1">
      <protection hidden="1"/>
    </xf>
    <xf numFmtId="0" fontId="1" fillId="0" borderId="51" xfId="0" applyNumberFormat="1" applyFont="1" applyFill="1" applyBorder="1" applyAlignment="1" applyProtection="1">
      <protection hidden="1"/>
    </xf>
    <xf numFmtId="0" fontId="0" fillId="0" borderId="51" xfId="0" applyBorder="1" applyAlignment="1" applyProtection="1">
      <protection hidden="1"/>
    </xf>
    <xf numFmtId="49" fontId="1" fillId="0" borderId="38" xfId="0" applyNumberFormat="1" applyFont="1" applyFill="1" applyBorder="1" applyAlignment="1" applyProtection="1">
      <protection hidden="1"/>
    </xf>
    <xf numFmtId="49" fontId="1" fillId="0" borderId="36" xfId="0" applyNumberFormat="1" applyFont="1" applyFill="1" applyBorder="1" applyAlignment="1" applyProtection="1">
      <protection hidden="1"/>
    </xf>
    <xf numFmtId="49" fontId="1" fillId="0" borderId="22" xfId="0" applyNumberFormat="1" applyFont="1" applyFill="1" applyBorder="1" applyAlignment="1" applyProtection="1">
      <protection hidden="1"/>
    </xf>
    <xf numFmtId="49" fontId="1" fillId="0" borderId="45" xfId="0" applyNumberFormat="1" applyFont="1" applyFill="1" applyBorder="1" applyAlignment="1" applyProtection="1">
      <protection hidden="1"/>
    </xf>
    <xf numFmtId="49" fontId="1" fillId="0" borderId="9" xfId="0" applyNumberFormat="1" applyFont="1" applyFill="1" applyBorder="1" applyAlignment="1" applyProtection="1">
      <protection hidden="1"/>
    </xf>
    <xf numFmtId="0" fontId="1" fillId="2" borderId="52" xfId="0" applyFont="1" applyFill="1" applyBorder="1" applyAlignment="1" applyProtection="1">
      <protection hidden="1"/>
    </xf>
    <xf numFmtId="0" fontId="1" fillId="2" borderId="53" xfId="0" applyFont="1" applyFill="1" applyBorder="1" applyAlignment="1" applyProtection="1">
      <protection hidden="1"/>
    </xf>
    <xf numFmtId="49" fontId="1" fillId="0" borderId="26" xfId="0" applyNumberFormat="1" applyFont="1" applyFill="1" applyBorder="1" applyAlignment="1" applyProtection="1">
      <alignment horizontal="center"/>
      <protection hidden="1"/>
    </xf>
    <xf numFmtId="3" fontId="14" fillId="0" borderId="37" xfId="0" applyNumberFormat="1" applyFont="1" applyBorder="1" applyAlignment="1" applyProtection="1">
      <alignment horizontal="center"/>
      <protection hidden="1"/>
    </xf>
    <xf numFmtId="0" fontId="1" fillId="0" borderId="26" xfId="0" applyNumberFormat="1" applyFont="1" applyFill="1" applyBorder="1" applyAlignment="1" applyProtection="1">
      <protection hidden="1"/>
    </xf>
    <xf numFmtId="0" fontId="1" fillId="0" borderId="33" xfId="0" applyNumberFormat="1" applyFont="1" applyFill="1" applyBorder="1" applyAlignment="1" applyProtection="1">
      <protection hidden="1"/>
    </xf>
    <xf numFmtId="0" fontId="15" fillId="0" borderId="13" xfId="0" applyFont="1" applyBorder="1" applyProtection="1"/>
    <xf numFmtId="0" fontId="1" fillId="0" borderId="38" xfId="0" applyNumberFormat="1" applyFont="1" applyFill="1" applyBorder="1" applyAlignment="1" applyProtection="1">
      <protection hidden="1"/>
    </xf>
    <xf numFmtId="0" fontId="1" fillId="0" borderId="22" xfId="0" applyNumberFormat="1" applyFont="1" applyFill="1" applyBorder="1" applyAlignment="1" applyProtection="1">
      <protection hidden="1"/>
    </xf>
    <xf numFmtId="49" fontId="1" fillId="0" borderId="5" xfId="0" applyNumberFormat="1" applyFont="1" applyFill="1" applyBorder="1" applyAlignment="1" applyProtection="1">
      <alignment horizontal="center"/>
      <protection hidden="1"/>
    </xf>
    <xf numFmtId="49" fontId="1" fillId="0" borderId="4" xfId="0" applyNumberFormat="1" applyFont="1" applyFill="1" applyBorder="1" applyAlignment="1" applyProtection="1">
      <alignment horizontal="center"/>
      <protection hidden="1"/>
    </xf>
    <xf numFmtId="178" fontId="14" fillId="0" borderId="29" xfId="0" applyNumberFormat="1" applyFont="1" applyFill="1" applyBorder="1" applyAlignment="1" applyProtection="1">
      <alignment horizontal="center"/>
      <protection hidden="1"/>
    </xf>
    <xf numFmtId="0" fontId="1" fillId="0" borderId="26" xfId="0" applyFont="1" applyFill="1" applyBorder="1" applyAlignment="1" applyProtection="1">
      <alignment horizontal="center" wrapText="1"/>
      <protection hidden="1"/>
    </xf>
    <xf numFmtId="0" fontId="1" fillId="0" borderId="26" xfId="0" applyFont="1" applyFill="1" applyBorder="1" applyAlignment="1" applyProtection="1">
      <alignment horizontal="center"/>
      <protection hidden="1"/>
    </xf>
    <xf numFmtId="0" fontId="0" fillId="0" borderId="26" xfId="0" applyBorder="1" applyAlignment="1"/>
    <xf numFmtId="0" fontId="0" fillId="0" borderId="26" xfId="0" applyFill="1" applyBorder="1" applyAlignment="1" applyProtection="1">
      <protection hidden="1"/>
    </xf>
    <xf numFmtId="165" fontId="1" fillId="0" borderId="39" xfId="0" applyNumberFormat="1" applyFont="1" applyBorder="1" applyAlignment="1" applyProtection="1">
      <alignment horizontal="center"/>
      <protection hidden="1"/>
    </xf>
    <xf numFmtId="172" fontId="1" fillId="0" borderId="54" xfId="0" applyNumberFormat="1" applyFont="1" applyBorder="1" applyAlignment="1" applyProtection="1">
      <alignment horizontal="center"/>
      <protection hidden="1"/>
    </xf>
    <xf numFmtId="164" fontId="1" fillId="0" borderId="39" xfId="0" applyNumberFormat="1" applyFont="1" applyFill="1" applyBorder="1" applyAlignment="1" applyProtection="1">
      <alignment horizontal="center"/>
      <protection hidden="1"/>
    </xf>
    <xf numFmtId="0" fontId="0" fillId="6" borderId="0" xfId="0" applyFill="1" applyProtection="1"/>
    <xf numFmtId="0" fontId="0" fillId="0" borderId="1" xfId="0" applyBorder="1" applyProtection="1"/>
    <xf numFmtId="0" fontId="0" fillId="0" borderId="0" xfId="0" applyBorder="1" applyProtection="1"/>
    <xf numFmtId="0" fontId="0" fillId="0" borderId="2" xfId="0" applyBorder="1" applyProtection="1"/>
    <xf numFmtId="0" fontId="0" fillId="0" borderId="1" xfId="0" applyFill="1" applyBorder="1" applyProtection="1"/>
    <xf numFmtId="0" fontId="24" fillId="0" borderId="0" xfId="0" applyFont="1" applyBorder="1" applyProtection="1"/>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32" fillId="0" borderId="1" xfId="0" applyFont="1" applyBorder="1" applyProtection="1"/>
    <xf numFmtId="0" fontId="10" fillId="0" borderId="1" xfId="0" applyFont="1" applyBorder="1" applyProtection="1"/>
    <xf numFmtId="0" fontId="25" fillId="0" borderId="0" xfId="0" applyFont="1" applyBorder="1" applyProtection="1"/>
    <xf numFmtId="0" fontId="0" fillId="6" borderId="55" xfId="0" applyFill="1" applyBorder="1" applyProtection="1"/>
    <xf numFmtId="0" fontId="0" fillId="6" borderId="6" xfId="0" applyFill="1" applyBorder="1" applyProtection="1"/>
    <xf numFmtId="0" fontId="0" fillId="6" borderId="13" xfId="0" applyFill="1" applyBorder="1" applyProtection="1"/>
    <xf numFmtId="0" fontId="0" fillId="6" borderId="1" xfId="0" applyFill="1" applyBorder="1" applyProtection="1"/>
    <xf numFmtId="0" fontId="0" fillId="6" borderId="0" xfId="0" applyFill="1" applyBorder="1" applyProtection="1"/>
    <xf numFmtId="0" fontId="0" fillId="6" borderId="2" xfId="0" applyFill="1" applyBorder="1" applyProtection="1"/>
    <xf numFmtId="0" fontId="15" fillId="6" borderId="0" xfId="0" applyFont="1" applyFill="1" applyProtection="1"/>
    <xf numFmtId="0" fontId="15" fillId="6" borderId="0" xfId="0" applyNumberFormat="1" applyFont="1" applyFill="1" applyProtection="1"/>
    <xf numFmtId="0" fontId="34" fillId="6" borderId="0" xfId="0" applyFont="1" applyFill="1" applyProtection="1"/>
    <xf numFmtId="0" fontId="0" fillId="0" borderId="0" xfId="0" applyFill="1" applyBorder="1" applyProtection="1"/>
    <xf numFmtId="0" fontId="0" fillId="0" borderId="2" xfId="0" applyFill="1" applyBorder="1" applyProtection="1"/>
    <xf numFmtId="0" fontId="0" fillId="0" borderId="3" xfId="0" applyFill="1" applyBorder="1" applyProtection="1"/>
    <xf numFmtId="0" fontId="0" fillId="0" borderId="5" xfId="0" applyFill="1" applyBorder="1" applyProtection="1"/>
    <xf numFmtId="0" fontId="0" fillId="0" borderId="4" xfId="0" applyFill="1" applyBorder="1" applyProtection="1"/>
    <xf numFmtId="0" fontId="14" fillId="0" borderId="56" xfId="0" applyFont="1" applyFill="1" applyBorder="1" applyAlignment="1" applyProtection="1">
      <alignment horizontal="left" indent="1"/>
    </xf>
    <xf numFmtId="0" fontId="15" fillId="0" borderId="57" xfId="0" applyFont="1" applyFill="1" applyBorder="1" applyProtection="1"/>
    <xf numFmtId="0" fontId="1" fillId="0" borderId="1" xfId="0" applyFont="1" applyFill="1" applyBorder="1" applyAlignment="1" applyProtection="1">
      <alignment horizontal="left" indent="1"/>
    </xf>
    <xf numFmtId="1" fontId="1" fillId="0" borderId="2" xfId="0" applyNumberFormat="1" applyFont="1" applyFill="1" applyBorder="1" applyProtection="1"/>
    <xf numFmtId="0" fontId="1" fillId="0" borderId="3" xfId="0" applyFont="1" applyFill="1" applyBorder="1" applyAlignment="1" applyProtection="1">
      <alignment horizontal="left" indent="1"/>
    </xf>
    <xf numFmtId="0" fontId="15" fillId="0" borderId="5" xfId="0" applyFont="1" applyFill="1" applyBorder="1" applyProtection="1"/>
    <xf numFmtId="0" fontId="1" fillId="0" borderId="0" xfId="0" applyFont="1" applyFill="1" applyBorder="1" applyAlignment="1" applyProtection="1">
      <alignment horizontal="left" indent="1"/>
    </xf>
    <xf numFmtId="1" fontId="30" fillId="0" borderId="0" xfId="0" applyNumberFormat="1" applyFont="1" applyFill="1" applyBorder="1" applyProtection="1"/>
    <xf numFmtId="0" fontId="36" fillId="0" borderId="0" xfId="1" applyFont="1" applyFill="1" applyBorder="1" applyAlignment="1" applyProtection="1"/>
    <xf numFmtId="0" fontId="15" fillId="0" borderId="0" xfId="1" applyFont="1" applyBorder="1" applyAlignment="1" applyProtection="1"/>
    <xf numFmtId="3" fontId="38" fillId="6" borderId="37" xfId="0" applyNumberFormat="1" applyFont="1" applyFill="1" applyBorder="1" applyAlignment="1" applyProtection="1">
      <alignment horizontal="center"/>
      <protection locked="0"/>
    </xf>
    <xf numFmtId="3" fontId="38" fillId="6" borderId="26" xfId="0" applyNumberFormat="1" applyFont="1" applyFill="1" applyBorder="1" applyAlignment="1" applyProtection="1">
      <alignment horizontal="center"/>
      <protection locked="0"/>
    </xf>
    <xf numFmtId="165" fontId="38" fillId="6" borderId="26" xfId="0" applyNumberFormat="1" applyFont="1" applyFill="1" applyBorder="1" applyAlignment="1" applyProtection="1">
      <alignment horizontal="center"/>
      <protection locked="0"/>
    </xf>
    <xf numFmtId="166" fontId="38" fillId="6" borderId="36" xfId="0" applyNumberFormat="1" applyFont="1" applyFill="1" applyBorder="1" applyAlignment="1" applyProtection="1">
      <alignment horizontal="center"/>
      <protection locked="0"/>
    </xf>
    <xf numFmtId="3" fontId="38" fillId="6" borderId="21" xfId="0" applyNumberFormat="1" applyFont="1" applyFill="1" applyBorder="1" applyAlignment="1" applyProtection="1">
      <alignment horizontal="center"/>
      <protection locked="0"/>
    </xf>
    <xf numFmtId="3" fontId="38" fillId="6" borderId="45" xfId="0" applyNumberFormat="1" applyFont="1" applyFill="1" applyBorder="1" applyAlignment="1" applyProtection="1">
      <alignment horizontal="center"/>
      <protection locked="0"/>
    </xf>
    <xf numFmtId="165" fontId="38" fillId="6" borderId="45" xfId="0" applyNumberFormat="1" applyFont="1" applyFill="1" applyBorder="1" applyAlignment="1" applyProtection="1">
      <alignment horizontal="center"/>
      <protection locked="0"/>
    </xf>
    <xf numFmtId="166" fontId="38" fillId="6" borderId="9" xfId="0" applyNumberFormat="1" applyFont="1" applyFill="1" applyBorder="1" applyAlignment="1" applyProtection="1">
      <alignment horizontal="center"/>
      <protection locked="0"/>
    </xf>
    <xf numFmtId="3" fontId="1" fillId="7" borderId="26" xfId="0" applyNumberFormat="1" applyFont="1" applyFill="1" applyBorder="1" applyAlignment="1" applyProtection="1">
      <alignment horizontal="center"/>
    </xf>
    <xf numFmtId="3" fontId="1" fillId="0" borderId="26" xfId="0" applyNumberFormat="1" applyFont="1" applyFill="1" applyBorder="1" applyAlignment="1" applyProtection="1">
      <alignment horizontal="center"/>
    </xf>
    <xf numFmtId="165" fontId="1" fillId="7" borderId="26" xfId="0" applyNumberFormat="1" applyFont="1" applyFill="1" applyBorder="1" applyAlignment="1" applyProtection="1">
      <alignment horizontal="center"/>
    </xf>
    <xf numFmtId="165" fontId="1" fillId="0" borderId="26" xfId="0" applyNumberFormat="1" applyFont="1" applyFill="1" applyBorder="1" applyAlignment="1" applyProtection="1">
      <alignment horizontal="center"/>
    </xf>
    <xf numFmtId="0" fontId="38" fillId="6" borderId="14" xfId="0" applyFont="1" applyFill="1" applyBorder="1" applyAlignment="1" applyProtection="1">
      <alignment horizontal="center"/>
      <protection locked="0"/>
    </xf>
    <xf numFmtId="0" fontId="38" fillId="6" borderId="41" xfId="0" applyFont="1" applyFill="1" applyBorder="1" applyAlignment="1" applyProtection="1">
      <alignment horizontal="center"/>
      <protection locked="0"/>
    </xf>
    <xf numFmtId="0" fontId="38" fillId="6" borderId="36" xfId="0" applyFont="1" applyFill="1" applyBorder="1" applyAlignment="1" applyProtection="1">
      <alignment horizontal="center"/>
      <protection locked="0"/>
    </xf>
    <xf numFmtId="0" fontId="38" fillId="6" borderId="30" xfId="0" applyFont="1" applyFill="1" applyBorder="1" applyAlignment="1" applyProtection="1">
      <alignment horizontal="center"/>
      <protection locked="0"/>
    </xf>
    <xf numFmtId="0" fontId="38" fillId="6" borderId="19" xfId="0" applyFont="1" applyFill="1" applyBorder="1" applyAlignment="1" applyProtection="1">
      <alignment horizontal="center"/>
      <protection locked="0"/>
    </xf>
    <xf numFmtId="164" fontId="38" fillId="6" borderId="13" xfId="0" applyNumberFormat="1" applyFont="1" applyFill="1" applyBorder="1" applyAlignment="1" applyProtection="1">
      <alignment horizontal="center"/>
      <protection locked="0"/>
    </xf>
    <xf numFmtId="164" fontId="38" fillId="6" borderId="36" xfId="0" applyNumberFormat="1" applyFont="1" applyFill="1" applyBorder="1" applyAlignment="1" applyProtection="1">
      <alignment horizontal="center"/>
      <protection locked="0"/>
    </xf>
    <xf numFmtId="3" fontId="38" fillId="6" borderId="41" xfId="0" applyNumberFormat="1" applyFont="1" applyFill="1" applyBorder="1" applyAlignment="1" applyProtection="1">
      <alignment horizontal="center"/>
      <protection locked="0"/>
    </xf>
    <xf numFmtId="0" fontId="33" fillId="6" borderId="0" xfId="3" applyFont="1" applyFill="1"/>
    <xf numFmtId="0" fontId="39" fillId="6" borderId="0" xfId="3" applyFont="1" applyFill="1"/>
    <xf numFmtId="0" fontId="33" fillId="6" borderId="0" xfId="3" applyFont="1" applyFill="1" applyAlignment="1">
      <alignment horizontal="center" vertical="center"/>
    </xf>
    <xf numFmtId="180" fontId="3" fillId="0" borderId="2" xfId="3" applyNumberFormat="1" applyFont="1" applyBorder="1" applyAlignment="1">
      <alignment horizontal="center" vertical="center"/>
    </xf>
    <xf numFmtId="180" fontId="3" fillId="0" borderId="4" xfId="3" applyNumberFormat="1" applyFont="1" applyBorder="1" applyAlignment="1">
      <alignment horizontal="center" vertical="center"/>
    </xf>
    <xf numFmtId="0" fontId="1" fillId="0" borderId="6" xfId="0" applyFont="1" applyFill="1" applyBorder="1" applyAlignment="1" applyProtection="1">
      <alignment horizontal="center" wrapText="1"/>
    </xf>
    <xf numFmtId="0" fontId="9" fillId="0" borderId="58" xfId="0" applyFont="1" applyFill="1" applyBorder="1" applyAlignment="1" applyProtection="1">
      <alignment horizontal="center"/>
    </xf>
    <xf numFmtId="0" fontId="9" fillId="0" borderId="0" xfId="0" applyFont="1" applyFill="1" applyBorder="1" applyAlignment="1" applyProtection="1">
      <alignment horizontal="center" vertical="center"/>
    </xf>
    <xf numFmtId="0" fontId="9" fillId="0" borderId="59" xfId="0" applyFont="1" applyFill="1" applyBorder="1" applyAlignment="1" applyProtection="1">
      <alignment horizontal="center"/>
    </xf>
    <xf numFmtId="0" fontId="42" fillId="0" borderId="59" xfId="0" applyFont="1" applyFill="1" applyBorder="1" applyAlignment="1" applyProtection="1">
      <alignment horizontal="center"/>
    </xf>
    <xf numFmtId="0" fontId="9" fillId="0" borderId="59" xfId="0" applyFont="1" applyFill="1" applyBorder="1" applyProtection="1"/>
    <xf numFmtId="166" fontId="1" fillId="0" borderId="5" xfId="0" applyNumberFormat="1" applyFont="1" applyFill="1" applyBorder="1" applyAlignment="1" applyProtection="1">
      <alignment horizontal="center" wrapText="1"/>
    </xf>
    <xf numFmtId="175" fontId="15" fillId="0" borderId="59" xfId="0" applyNumberFormat="1" applyFont="1" applyFill="1" applyBorder="1" applyAlignment="1" applyProtection="1">
      <alignment horizontal="center" wrapText="1"/>
    </xf>
    <xf numFmtId="166" fontId="15" fillId="0" borderId="59" xfId="0" applyNumberFormat="1" applyFont="1" applyFill="1" applyBorder="1" applyAlignment="1" applyProtection="1">
      <alignment horizontal="center" wrapText="1"/>
    </xf>
    <xf numFmtId="0" fontId="9" fillId="0" borderId="0" xfId="0" applyFont="1" applyFill="1" applyBorder="1" applyAlignment="1" applyProtection="1">
      <alignment horizontal="center" wrapText="1"/>
    </xf>
    <xf numFmtId="0" fontId="1" fillId="0" borderId="0" xfId="0" applyFont="1" applyFill="1" applyBorder="1" applyAlignment="1" applyProtection="1">
      <alignment horizontal="center" wrapText="1"/>
      <protection hidden="1"/>
    </xf>
    <xf numFmtId="175" fontId="1" fillId="0" borderId="59" xfId="0" applyNumberFormat="1" applyFont="1" applyFill="1" applyBorder="1" applyAlignment="1" applyProtection="1">
      <alignment horizontal="center" wrapText="1"/>
    </xf>
    <xf numFmtId="166" fontId="1" fillId="0" borderId="59" xfId="0" applyNumberFormat="1" applyFont="1" applyFill="1" applyBorder="1" applyAlignment="1" applyProtection="1">
      <alignment horizontal="center" wrapText="1"/>
    </xf>
    <xf numFmtId="0" fontId="1" fillId="0" borderId="5" xfId="0" applyFont="1" applyFill="1" applyBorder="1" applyAlignment="1" applyProtection="1">
      <alignment horizontal="center" wrapText="1"/>
      <protection hidden="1"/>
    </xf>
    <xf numFmtId="181" fontId="1" fillId="0" borderId="5" xfId="0" applyNumberFormat="1" applyFont="1" applyFill="1" applyBorder="1" applyAlignment="1" applyProtection="1">
      <alignment horizontal="center" wrapText="1"/>
      <protection hidden="1"/>
    </xf>
    <xf numFmtId="175" fontId="1" fillId="0" borderId="5" xfId="0" applyNumberFormat="1" applyFont="1" applyFill="1" applyBorder="1" applyAlignment="1" applyProtection="1">
      <alignment horizontal="center" wrapText="1"/>
      <protection hidden="1"/>
    </xf>
    <xf numFmtId="166" fontId="1" fillId="0" borderId="5" xfId="0" applyNumberFormat="1" applyFont="1" applyFill="1" applyBorder="1" applyAlignment="1" applyProtection="1">
      <alignment horizontal="center" wrapText="1"/>
      <protection hidden="1"/>
    </xf>
    <xf numFmtId="0" fontId="9" fillId="0" borderId="59" xfId="0" applyFont="1" applyFill="1" applyBorder="1" applyAlignment="1" applyProtection="1">
      <alignment horizontal="center" wrapText="1"/>
    </xf>
    <xf numFmtId="0" fontId="9" fillId="0" borderId="59" xfId="0" applyFont="1" applyFill="1" applyBorder="1" applyAlignment="1" applyProtection="1">
      <alignment horizontal="center" vertical="center"/>
    </xf>
    <xf numFmtId="3" fontId="38" fillId="6" borderId="54" xfId="0" applyNumberFormat="1" applyFont="1" applyFill="1" applyBorder="1" applyAlignment="1" applyProtection="1">
      <alignment horizontal="center"/>
      <protection locked="0"/>
    </xf>
    <xf numFmtId="3" fontId="38" fillId="6" borderId="29" xfId="0" applyNumberFormat="1" applyFont="1" applyFill="1" applyBorder="1" applyAlignment="1" applyProtection="1">
      <alignment horizontal="center"/>
      <protection locked="0"/>
    </xf>
    <xf numFmtId="165" fontId="38" fillId="6" borderId="29" xfId="0" applyNumberFormat="1" applyFont="1" applyFill="1" applyBorder="1" applyAlignment="1" applyProtection="1">
      <alignment horizontal="center"/>
      <protection locked="0"/>
    </xf>
    <xf numFmtId="166" fontId="38" fillId="6" borderId="30" xfId="0" applyNumberFormat="1" applyFont="1" applyFill="1" applyBorder="1" applyAlignment="1" applyProtection="1">
      <alignment horizontal="center"/>
      <protection locked="0"/>
    </xf>
    <xf numFmtId="0" fontId="18" fillId="0" borderId="0" xfId="0" applyFont="1" applyFill="1" applyBorder="1" applyAlignment="1" applyProtection="1">
      <alignment horizontal="center"/>
    </xf>
    <xf numFmtId="0" fontId="9" fillId="0" borderId="6" xfId="0" applyFont="1" applyFill="1" applyBorder="1" applyAlignment="1" applyProtection="1">
      <alignment horizontal="center"/>
    </xf>
    <xf numFmtId="0" fontId="9" fillId="0" borderId="2" xfId="0" applyFont="1" applyFill="1" applyBorder="1" applyAlignment="1" applyProtection="1">
      <alignment horizontal="center" vertical="center"/>
    </xf>
    <xf numFmtId="0" fontId="9" fillId="0" borderId="60" xfId="0" applyFont="1" applyFill="1" applyBorder="1" applyProtection="1"/>
    <xf numFmtId="166" fontId="15" fillId="0" borderId="2" xfId="0" applyNumberFormat="1" applyFont="1" applyFill="1" applyBorder="1" applyAlignment="1" applyProtection="1">
      <alignment horizontal="center" wrapText="1"/>
    </xf>
    <xf numFmtId="166" fontId="15" fillId="0" borderId="60" xfId="0" applyNumberFormat="1" applyFont="1" applyFill="1" applyBorder="1" applyAlignment="1" applyProtection="1">
      <alignment horizontal="center" wrapText="1"/>
    </xf>
    <xf numFmtId="0" fontId="9" fillId="0" borderId="6" xfId="0" applyFont="1" applyFill="1" applyBorder="1" applyAlignment="1" applyProtection="1">
      <alignment horizontal="center" wrapText="1"/>
    </xf>
    <xf numFmtId="0" fontId="1" fillId="0" borderId="6" xfId="0" applyFont="1" applyBorder="1" applyProtection="1"/>
    <xf numFmtId="42" fontId="1" fillId="0" borderId="6" xfId="0" applyNumberFormat="1" applyFont="1" applyFill="1" applyBorder="1" applyAlignment="1" applyProtection="1">
      <alignment horizontal="center" wrapText="1"/>
    </xf>
    <xf numFmtId="42" fontId="1" fillId="0" borderId="13" xfId="0" applyNumberFormat="1" applyFont="1" applyFill="1" applyBorder="1" applyAlignment="1" applyProtection="1">
      <alignment horizontal="center" wrapText="1"/>
    </xf>
    <xf numFmtId="0" fontId="9" fillId="0" borderId="24" xfId="0" applyFont="1" applyFill="1" applyBorder="1" applyAlignment="1" applyProtection="1">
      <alignment horizontal="center"/>
    </xf>
    <xf numFmtId="0" fontId="9" fillId="0" borderId="2" xfId="0" applyFont="1" applyFill="1" applyBorder="1" applyAlignment="1" applyProtection="1">
      <alignment horizontal="center"/>
    </xf>
    <xf numFmtId="0" fontId="9" fillId="0" borderId="60" xfId="0" applyFont="1" applyFill="1" applyBorder="1" applyAlignment="1" applyProtection="1">
      <alignment horizontal="center"/>
    </xf>
    <xf numFmtId="0" fontId="38" fillId="6" borderId="26" xfId="0" applyFont="1" applyFill="1" applyBorder="1" applyAlignment="1" applyProtection="1">
      <alignment horizontal="center" wrapText="1"/>
      <protection locked="0"/>
    </xf>
    <xf numFmtId="0" fontId="9" fillId="0" borderId="0" xfId="0" applyFont="1" applyFill="1" applyBorder="1" applyAlignment="1" applyProtection="1"/>
    <xf numFmtId="0" fontId="9" fillId="0" borderId="1" xfId="0" applyFont="1" applyFill="1" applyBorder="1" applyAlignment="1" applyProtection="1">
      <alignment horizontal="center"/>
    </xf>
    <xf numFmtId="0" fontId="18" fillId="0" borderId="6" xfId="0" applyFont="1" applyBorder="1" applyProtection="1"/>
    <xf numFmtId="0" fontId="18" fillId="0" borderId="0" xfId="0" applyFont="1" applyBorder="1" applyProtection="1"/>
    <xf numFmtId="0" fontId="18" fillId="0" borderId="5" xfId="0" applyFont="1" applyBorder="1" applyProtection="1"/>
    <xf numFmtId="0" fontId="9" fillId="0" borderId="55" xfId="0" applyFont="1" applyFill="1" applyBorder="1" applyProtection="1"/>
    <xf numFmtId="0" fontId="9" fillId="0" borderId="1" xfId="0" applyFont="1" applyFill="1" applyBorder="1" applyProtection="1"/>
    <xf numFmtId="0" fontId="9" fillId="0" borderId="3" xfId="0" applyFont="1" applyFill="1" applyBorder="1" applyProtection="1"/>
    <xf numFmtId="0" fontId="9" fillId="0" borderId="55" xfId="0" applyFont="1" applyBorder="1" applyProtection="1"/>
    <xf numFmtId="0" fontId="1" fillId="0" borderId="26" xfId="0" applyNumberFormat="1" applyFont="1" applyFill="1" applyBorder="1" applyAlignment="1" applyProtection="1">
      <alignment horizontal="center"/>
    </xf>
    <xf numFmtId="49" fontId="1" fillId="0" borderId="29" xfId="0" applyNumberFormat="1" applyFont="1" applyFill="1" applyBorder="1" applyAlignment="1" applyProtection="1">
      <alignment horizontal="center"/>
    </xf>
    <xf numFmtId="0" fontId="9" fillId="0" borderId="59" xfId="0" applyFont="1" applyFill="1" applyBorder="1" applyAlignment="1" applyProtection="1">
      <alignment vertical="center"/>
    </xf>
    <xf numFmtId="0" fontId="9" fillId="0" borderId="60" xfId="0" applyFont="1" applyFill="1" applyBorder="1" applyAlignment="1" applyProtection="1">
      <alignment vertical="center"/>
    </xf>
    <xf numFmtId="0" fontId="0" fillId="0" borderId="61" xfId="0" applyBorder="1" applyAlignment="1"/>
    <xf numFmtId="0" fontId="0" fillId="0" borderId="59" xfId="0" applyBorder="1" applyAlignment="1"/>
    <xf numFmtId="0" fontId="1" fillId="0" borderId="55" xfId="0" applyFont="1" applyBorder="1" applyProtection="1"/>
    <xf numFmtId="0" fontId="1" fillId="0" borderId="13" xfId="0" applyFont="1" applyBorder="1" applyProtection="1"/>
    <xf numFmtId="0" fontId="9" fillId="0" borderId="1" xfId="0" applyFont="1" applyFill="1" applyBorder="1" applyAlignment="1" applyProtection="1"/>
    <xf numFmtId="166" fontId="1" fillId="0" borderId="26" xfId="0" applyNumberFormat="1" applyFont="1" applyBorder="1" applyAlignment="1" applyProtection="1">
      <alignment horizontal="center"/>
    </xf>
    <xf numFmtId="166" fontId="1" fillId="0" borderId="26" xfId="0" applyNumberFormat="1" applyFont="1" applyFill="1" applyBorder="1" applyAlignment="1" applyProtection="1">
      <alignment horizontal="center"/>
    </xf>
    <xf numFmtId="0" fontId="42" fillId="0" borderId="0" xfId="0" applyFont="1" applyFill="1" applyBorder="1" applyAlignment="1" applyProtection="1">
      <alignment horizontal="center"/>
    </xf>
    <xf numFmtId="0" fontId="9" fillId="0" borderId="0" xfId="0" applyFont="1" applyFill="1" applyBorder="1" applyProtection="1"/>
    <xf numFmtId="0" fontId="9" fillId="0" borderId="2" xfId="0" applyFont="1" applyFill="1" applyBorder="1" applyProtection="1"/>
    <xf numFmtId="0" fontId="38" fillId="6" borderId="18" xfId="0" applyFont="1" applyFill="1" applyBorder="1" applyAlignment="1" applyProtection="1">
      <alignment horizontal="center" wrapText="1"/>
      <protection locked="0"/>
    </xf>
    <xf numFmtId="0" fontId="38" fillId="6" borderId="29" xfId="0" applyFont="1" applyFill="1" applyBorder="1" applyAlignment="1" applyProtection="1">
      <alignment horizontal="center" wrapText="1"/>
      <protection locked="0"/>
    </xf>
    <xf numFmtId="0" fontId="38" fillId="0" borderId="59" xfId="0" applyFont="1" applyFill="1" applyBorder="1" applyAlignment="1" applyProtection="1">
      <alignment horizontal="center" wrapText="1"/>
      <protection locked="0"/>
    </xf>
    <xf numFmtId="181" fontId="1" fillId="0" borderId="59" xfId="0" applyNumberFormat="1" applyFont="1" applyFill="1" applyBorder="1" applyAlignment="1" applyProtection="1">
      <alignment horizontal="center" wrapText="1"/>
    </xf>
    <xf numFmtId="0" fontId="1" fillId="0" borderId="59" xfId="0" applyFont="1" applyFill="1" applyBorder="1" applyAlignment="1" applyProtection="1">
      <alignment horizontal="center" wrapText="1"/>
    </xf>
    <xf numFmtId="181" fontId="15" fillId="0" borderId="59" xfId="0" applyNumberFormat="1" applyFont="1" applyFill="1" applyBorder="1" applyAlignment="1" applyProtection="1">
      <alignment horizontal="center" wrapText="1"/>
    </xf>
    <xf numFmtId="0" fontId="44" fillId="0" borderId="5" xfId="0" applyFont="1" applyFill="1" applyBorder="1" applyAlignment="1" applyProtection="1">
      <alignment horizontal="center" wrapText="1"/>
    </xf>
    <xf numFmtId="181" fontId="44" fillId="0" borderId="5" xfId="0" applyNumberFormat="1" applyFont="1" applyFill="1" applyBorder="1" applyAlignment="1" applyProtection="1">
      <alignment horizontal="center" wrapText="1"/>
    </xf>
    <xf numFmtId="175" fontId="44" fillId="0" borderId="5" xfId="0" applyNumberFormat="1" applyFont="1" applyFill="1" applyBorder="1" applyAlignment="1" applyProtection="1">
      <alignment horizontal="center" wrapText="1"/>
    </xf>
    <xf numFmtId="166" fontId="44" fillId="0" borderId="5" xfId="0" applyNumberFormat="1" applyFont="1" applyFill="1" applyBorder="1" applyAlignment="1" applyProtection="1">
      <alignment horizontal="center" wrapText="1"/>
    </xf>
    <xf numFmtId="166" fontId="44" fillId="0" borderId="4" xfId="0" applyNumberFormat="1" applyFont="1" applyFill="1" applyBorder="1" applyAlignment="1" applyProtection="1">
      <alignment horizontal="center" wrapText="1"/>
    </xf>
    <xf numFmtId="1" fontId="40" fillId="0" borderId="0" xfId="3" applyNumberFormat="1" applyFont="1" applyBorder="1" applyAlignment="1">
      <alignment horizontal="center"/>
    </xf>
    <xf numFmtId="0" fontId="10" fillId="0" borderId="1"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1" xfId="3" applyFont="1" applyBorder="1" applyAlignment="1">
      <alignment horizontal="center" vertical="center"/>
    </xf>
    <xf numFmtId="0" fontId="10" fillId="0" borderId="2" xfId="3" applyFont="1" applyBorder="1" applyAlignment="1">
      <alignment horizontal="center" vertical="center"/>
    </xf>
    <xf numFmtId="0" fontId="10" fillId="0" borderId="1" xfId="3" applyFont="1" applyBorder="1" applyAlignment="1">
      <alignment horizontal="center" vertical="top" wrapText="1"/>
    </xf>
    <xf numFmtId="0" fontId="10" fillId="0" borderId="2" xfId="3" applyFont="1" applyBorder="1" applyAlignment="1">
      <alignment horizontal="center" vertical="top" wrapText="1"/>
    </xf>
    <xf numFmtId="0" fontId="39" fillId="6" borderId="1" xfId="3" applyFont="1" applyFill="1" applyBorder="1" applyAlignment="1" applyProtection="1">
      <alignment horizontal="center"/>
      <protection locked="0"/>
    </xf>
    <xf numFmtId="0" fontId="40" fillId="0" borderId="2" xfId="3" applyFont="1" applyBorder="1" applyAlignment="1">
      <alignment horizontal="center"/>
    </xf>
    <xf numFmtId="2" fontId="40" fillId="0" borderId="2" xfId="3" applyNumberFormat="1" applyFont="1" applyBorder="1" applyAlignment="1">
      <alignment horizontal="center"/>
    </xf>
    <xf numFmtId="2" fontId="40" fillId="0" borderId="2" xfId="3" applyNumberFormat="1" applyFont="1" applyBorder="1"/>
    <xf numFmtId="165" fontId="40" fillId="0" borderId="2" xfId="3" applyNumberFormat="1" applyFont="1" applyBorder="1" applyAlignment="1">
      <alignment horizontal="center"/>
    </xf>
    <xf numFmtId="0" fontId="3" fillId="0" borderId="0" xfId="3" applyBorder="1" applyAlignment="1">
      <alignment horizontal="center"/>
    </xf>
    <xf numFmtId="0" fontId="45" fillId="0" borderId="61" xfId="3" applyFont="1" applyFill="1" applyBorder="1" applyAlignment="1">
      <alignment horizontal="center"/>
    </xf>
    <xf numFmtId="0" fontId="45" fillId="0" borderId="60" xfId="3" applyFont="1" applyFill="1" applyBorder="1" applyAlignment="1">
      <alignment horizontal="center"/>
    </xf>
    <xf numFmtId="1" fontId="3" fillId="0" borderId="0" xfId="3" applyNumberFormat="1" applyBorder="1" applyAlignment="1">
      <alignment horizontal="center"/>
    </xf>
    <xf numFmtId="1" fontId="3" fillId="0" borderId="5" xfId="3" applyNumberFormat="1" applyBorder="1" applyAlignment="1">
      <alignment horizontal="center"/>
    </xf>
    <xf numFmtId="0" fontId="45" fillId="0" borderId="59" xfId="3" applyFont="1" applyFill="1" applyBorder="1" applyAlignment="1">
      <alignment horizontal="center"/>
    </xf>
    <xf numFmtId="0" fontId="10" fillId="0" borderId="0" xfId="3" applyFont="1" applyBorder="1" applyAlignment="1">
      <alignment horizontal="center" vertical="top" wrapText="1"/>
    </xf>
    <xf numFmtId="180" fontId="3" fillId="0" borderId="0" xfId="3" applyNumberFormat="1" applyBorder="1" applyAlignment="1">
      <alignment horizontal="center"/>
    </xf>
    <xf numFmtId="180" fontId="3" fillId="0" borderId="5" xfId="3" applyNumberFormat="1" applyBorder="1" applyAlignment="1">
      <alignment horizontal="center"/>
    </xf>
    <xf numFmtId="0" fontId="39" fillId="0" borderId="0" xfId="3" applyFont="1" applyFill="1" applyBorder="1" applyAlignment="1" applyProtection="1">
      <alignment horizontal="center"/>
      <protection locked="0"/>
    </xf>
    <xf numFmtId="0" fontId="13" fillId="0" borderId="0" xfId="3" applyFont="1" applyBorder="1" applyAlignment="1">
      <alignment horizontal="center" vertical="center" wrapText="1"/>
    </xf>
    <xf numFmtId="0" fontId="39" fillId="6" borderId="1" xfId="3" applyFont="1" applyFill="1" applyBorder="1" applyAlignment="1" applyProtection="1">
      <alignment horizontal="center" vertical="center" wrapText="1"/>
      <protection locked="0"/>
    </xf>
    <xf numFmtId="4" fontId="41" fillId="0" borderId="2" xfId="3" applyNumberFormat="1" applyFont="1" applyBorder="1" applyAlignment="1">
      <alignment horizontal="center" vertical="center"/>
    </xf>
    <xf numFmtId="165" fontId="41" fillId="0" borderId="2" xfId="3" applyNumberFormat="1" applyFont="1" applyBorder="1" applyAlignment="1">
      <alignment horizontal="center" vertical="center"/>
    </xf>
    <xf numFmtId="0" fontId="39" fillId="6" borderId="1" xfId="3" applyFont="1" applyFill="1" applyBorder="1" applyAlignment="1" applyProtection="1">
      <alignment horizontal="center" vertical="center"/>
      <protection locked="0"/>
    </xf>
    <xf numFmtId="2" fontId="41" fillId="0" borderId="2" xfId="3" applyNumberFormat="1" applyFont="1" applyBorder="1" applyAlignment="1">
      <alignment horizontal="center" vertical="center"/>
    </xf>
    <xf numFmtId="180" fontId="41" fillId="0" borderId="2" xfId="3" applyNumberFormat="1" applyFont="1" applyBorder="1" applyAlignment="1">
      <alignment horizontal="center" vertical="center"/>
    </xf>
    <xf numFmtId="180" fontId="41" fillId="0" borderId="2" xfId="3" applyNumberFormat="1" applyFont="1" applyBorder="1" applyAlignment="1">
      <alignment horizontal="center" vertical="center" wrapText="1"/>
    </xf>
    <xf numFmtId="0" fontId="41" fillId="0" borderId="2" xfId="3" applyFont="1" applyBorder="1" applyAlignment="1">
      <alignment horizontal="center" vertical="center" wrapText="1"/>
    </xf>
    <xf numFmtId="0" fontId="14" fillId="0" borderId="1" xfId="0" applyFont="1" applyFill="1" applyBorder="1" applyAlignment="1" applyProtection="1">
      <alignment horizontal="left" indent="1"/>
    </xf>
    <xf numFmtId="0" fontId="1" fillId="0" borderId="1" xfId="0" applyFont="1" applyFill="1" applyBorder="1" applyAlignment="1" applyProtection="1">
      <alignment horizontal="center" wrapText="1"/>
    </xf>
    <xf numFmtId="0" fontId="1" fillId="0" borderId="2" xfId="0" applyFont="1" applyFill="1" applyBorder="1" applyAlignment="1" applyProtection="1">
      <alignment horizontal="center" wrapText="1"/>
    </xf>
    <xf numFmtId="1" fontId="45" fillId="0" borderId="4" xfId="0" applyNumberFormat="1" applyFont="1" applyFill="1" applyBorder="1" applyProtection="1"/>
    <xf numFmtId="0" fontId="1" fillId="0" borderId="2" xfId="0" applyFont="1" applyFill="1" applyBorder="1" applyProtection="1"/>
    <xf numFmtId="0" fontId="38" fillId="6" borderId="36" xfId="0" applyFont="1" applyFill="1" applyBorder="1" applyProtection="1">
      <protection locked="0"/>
    </xf>
    <xf numFmtId="0" fontId="38" fillId="6" borderId="0" xfId="0" applyFont="1" applyFill="1" applyBorder="1" applyProtection="1"/>
    <xf numFmtId="0" fontId="47" fillId="6" borderId="0" xfId="0" applyFont="1" applyFill="1" applyBorder="1" applyAlignment="1" applyProtection="1">
      <alignment horizontal="center" wrapText="1"/>
    </xf>
    <xf numFmtId="0" fontId="46" fillId="0" borderId="0" xfId="0" applyFont="1" applyAlignment="1" applyProtection="1">
      <alignment horizontal="right"/>
    </xf>
    <xf numFmtId="3" fontId="1" fillId="0" borderId="45" xfId="0" applyNumberFormat="1" applyFont="1" applyFill="1" applyBorder="1" applyAlignment="1" applyProtection="1">
      <alignment horizontal="center"/>
    </xf>
    <xf numFmtId="165" fontId="1" fillId="0" borderId="45" xfId="0" applyNumberFormat="1" applyFont="1" applyFill="1" applyBorder="1" applyAlignment="1" applyProtection="1">
      <alignment horizontal="center"/>
    </xf>
    <xf numFmtId="166" fontId="1" fillId="0" borderId="45" xfId="0" applyNumberFormat="1" applyFont="1" applyFill="1" applyBorder="1" applyAlignment="1" applyProtection="1">
      <alignment horizontal="center"/>
    </xf>
    <xf numFmtId="166" fontId="1" fillId="0" borderId="39" xfId="0" applyNumberFormat="1" applyFont="1" applyBorder="1" applyAlignment="1" applyProtection="1">
      <alignment horizontal="left"/>
    </xf>
    <xf numFmtId="166" fontId="1" fillId="0" borderId="48" xfId="0" applyNumberFormat="1" applyFont="1" applyBorder="1" applyAlignment="1" applyProtection="1">
      <alignment horizontal="left"/>
    </xf>
    <xf numFmtId="166" fontId="1" fillId="0" borderId="51" xfId="0" applyNumberFormat="1" applyFont="1" applyBorder="1" applyAlignment="1" applyProtection="1">
      <alignment horizontal="left"/>
    </xf>
    <xf numFmtId="0" fontId="1" fillId="8" borderId="11" xfId="0" applyFont="1" applyFill="1" applyBorder="1" applyAlignment="1" applyProtection="1">
      <alignment horizontal="center"/>
      <protection hidden="1"/>
    </xf>
    <xf numFmtId="0" fontId="1" fillId="8" borderId="12" xfId="0" applyFont="1" applyFill="1" applyBorder="1" applyAlignment="1" applyProtection="1">
      <alignment horizontal="center"/>
      <protection hidden="1"/>
    </xf>
    <xf numFmtId="0" fontId="1" fillId="8" borderId="13" xfId="0" applyFont="1" applyFill="1" applyBorder="1" applyAlignment="1" applyProtection="1">
      <alignment horizontal="center"/>
      <protection hidden="1"/>
    </xf>
    <xf numFmtId="3" fontId="1" fillId="8" borderId="0" xfId="0" applyNumberFormat="1" applyFont="1" applyFill="1" applyBorder="1" applyAlignment="1" applyProtection="1">
      <alignment horizontal="center"/>
      <protection hidden="1"/>
    </xf>
    <xf numFmtId="3" fontId="1" fillId="8" borderId="16" xfId="0" applyNumberFormat="1" applyFont="1" applyFill="1" applyBorder="1" applyAlignment="1" applyProtection="1">
      <alignment horizontal="center"/>
      <protection hidden="1"/>
    </xf>
    <xf numFmtId="0" fontId="1" fillId="8" borderId="17" xfId="0" applyFont="1" applyFill="1" applyBorder="1" applyAlignment="1" applyProtection="1">
      <alignment horizontal="center"/>
      <protection hidden="1"/>
    </xf>
    <xf numFmtId="0" fontId="1" fillId="8" borderId="18" xfId="0" applyFont="1" applyFill="1" applyBorder="1" applyAlignment="1" applyProtection="1">
      <alignment horizontal="center"/>
      <protection hidden="1"/>
    </xf>
    <xf numFmtId="0" fontId="1" fillId="8" borderId="4" xfId="0" applyFont="1" applyFill="1" applyBorder="1" applyAlignment="1" applyProtection="1">
      <alignment horizontal="center"/>
      <protection hidden="1"/>
    </xf>
    <xf numFmtId="0" fontId="1" fillId="8" borderId="6" xfId="0" applyFont="1" applyFill="1" applyBorder="1" applyAlignment="1" applyProtection="1">
      <alignment horizontal="center"/>
      <protection hidden="1"/>
    </xf>
    <xf numFmtId="0" fontId="1" fillId="8" borderId="55" xfId="0" applyFont="1" applyFill="1" applyBorder="1" applyProtection="1"/>
    <xf numFmtId="0" fontId="15" fillId="8" borderId="6" xfId="0" applyFont="1" applyFill="1" applyBorder="1" applyProtection="1"/>
    <xf numFmtId="0" fontId="15" fillId="8" borderId="13" xfId="0" applyFont="1" applyFill="1" applyBorder="1" applyProtection="1"/>
    <xf numFmtId="0" fontId="15" fillId="8" borderId="3" xfId="0" applyFont="1" applyFill="1" applyBorder="1" applyProtection="1"/>
    <xf numFmtId="0" fontId="15" fillId="8" borderId="5" xfId="0" applyFont="1" applyFill="1" applyBorder="1" applyProtection="1"/>
    <xf numFmtId="0" fontId="15" fillId="8" borderId="4" xfId="0" applyFont="1" applyFill="1" applyBorder="1" applyProtection="1"/>
    <xf numFmtId="0" fontId="9" fillId="0" borderId="14" xfId="0" applyFont="1" applyBorder="1" applyAlignment="1" applyProtection="1">
      <alignment horizontal="center"/>
    </xf>
    <xf numFmtId="0" fontId="9" fillId="0" borderId="62" xfId="0" applyFont="1" applyBorder="1" applyAlignment="1" applyProtection="1">
      <alignment horizontal="center"/>
    </xf>
    <xf numFmtId="0" fontId="1" fillId="0" borderId="62" xfId="0" applyFont="1" applyBorder="1" applyAlignment="1" applyProtection="1">
      <alignment horizontal="center"/>
    </xf>
    <xf numFmtId="166" fontId="1" fillId="0" borderId="62" xfId="0" applyNumberFormat="1" applyFont="1" applyBorder="1" applyAlignment="1" applyProtection="1">
      <alignment horizontal="center"/>
    </xf>
    <xf numFmtId="166" fontId="1" fillId="0" borderId="19" xfId="0" applyNumberFormat="1" applyFont="1" applyBorder="1" applyAlignment="1" applyProtection="1">
      <alignment horizontal="center"/>
    </xf>
    <xf numFmtId="166" fontId="1" fillId="0" borderId="63" xfId="0" applyNumberFormat="1" applyFont="1" applyBorder="1" applyAlignment="1" applyProtection="1">
      <alignment horizontal="center"/>
    </xf>
    <xf numFmtId="165" fontId="14" fillId="0" borderId="13" xfId="0" applyNumberFormat="1" applyFont="1" applyFill="1" applyBorder="1" applyAlignment="1" applyProtection="1">
      <alignment horizontal="center"/>
      <protection locked="0"/>
    </xf>
    <xf numFmtId="0" fontId="9" fillId="0" borderId="64" xfId="0" applyFont="1" applyBorder="1" applyAlignment="1" applyProtection="1">
      <alignment horizontal="center"/>
    </xf>
    <xf numFmtId="0" fontId="14" fillId="0" borderId="0" xfId="0" applyNumberFormat="1" applyFont="1" applyFill="1" applyBorder="1" applyAlignment="1" applyProtection="1">
      <alignment horizontal="left"/>
      <protection hidden="1"/>
    </xf>
    <xf numFmtId="0" fontId="0" fillId="0" borderId="0" xfId="0" applyNumberFormat="1" applyProtection="1">
      <protection hidden="1"/>
    </xf>
    <xf numFmtId="0" fontId="0" fillId="0" borderId="0" xfId="0" applyNumberFormat="1" applyProtection="1"/>
    <xf numFmtId="0" fontId="1" fillId="0" borderId="0" xfId="0" applyNumberFormat="1" applyFont="1" applyFill="1" applyBorder="1" applyAlignment="1" applyProtection="1">
      <alignment horizontal="center" wrapText="1"/>
    </xf>
    <xf numFmtId="166" fontId="38" fillId="6" borderId="26" xfId="0" applyNumberFormat="1" applyFont="1" applyFill="1" applyBorder="1" applyAlignment="1" applyProtection="1">
      <alignment horizontal="center"/>
      <protection locked="0"/>
    </xf>
    <xf numFmtId="0" fontId="1" fillId="0" borderId="0" xfId="0" applyNumberFormat="1" applyFont="1" applyFill="1" applyBorder="1" applyAlignment="1" applyProtection="1">
      <alignment horizontal="center"/>
      <protection hidden="1"/>
    </xf>
    <xf numFmtId="182" fontId="1" fillId="0" borderId="0" xfId="0" applyNumberFormat="1" applyFont="1" applyFill="1" applyBorder="1" applyAlignment="1" applyProtection="1">
      <alignment horizontal="center" wrapText="1"/>
    </xf>
    <xf numFmtId="0" fontId="1" fillId="0" borderId="0" xfId="0" applyFont="1" applyFill="1" applyBorder="1" applyAlignment="1" applyProtection="1">
      <alignment horizontal="center" wrapText="1"/>
      <protection locked="0"/>
    </xf>
    <xf numFmtId="0" fontId="9" fillId="0" borderId="55" xfId="0" applyFont="1" applyFill="1" applyBorder="1" applyAlignment="1" applyProtection="1">
      <alignment horizontal="center" wrapText="1"/>
    </xf>
    <xf numFmtId="0" fontId="9" fillId="0" borderId="6" xfId="0" applyFont="1" applyFill="1" applyBorder="1" applyAlignment="1" applyProtection="1">
      <alignment horizontal="center" wrapText="1"/>
    </xf>
    <xf numFmtId="0" fontId="9" fillId="0" borderId="13" xfId="0" applyFont="1" applyFill="1" applyBorder="1" applyAlignment="1" applyProtection="1">
      <alignment horizontal="center" wrapText="1"/>
    </xf>
    <xf numFmtId="0" fontId="9" fillId="0" borderId="61" xfId="0" applyFont="1" applyFill="1" applyBorder="1" applyAlignment="1" applyProtection="1">
      <alignment horizontal="center" wrapText="1"/>
    </xf>
    <xf numFmtId="0" fontId="9" fillId="0" borderId="59" xfId="0" applyFont="1" applyFill="1" applyBorder="1" applyAlignment="1" applyProtection="1">
      <alignment horizontal="center" wrapText="1"/>
    </xf>
    <xf numFmtId="0" fontId="9" fillId="0" borderId="60" xfId="0" applyFont="1" applyFill="1" applyBorder="1" applyAlignment="1" applyProtection="1">
      <alignment horizontal="center" wrapText="1"/>
    </xf>
    <xf numFmtId="166" fontId="1" fillId="0" borderId="39" xfId="0" applyNumberFormat="1" applyFont="1" applyBorder="1" applyAlignment="1" applyProtection="1">
      <alignment horizontal="left"/>
    </xf>
    <xf numFmtId="166" fontId="1" fillId="0" borderId="48" xfId="0" applyNumberFormat="1" applyFont="1" applyBorder="1" applyAlignment="1" applyProtection="1">
      <alignment horizontal="left"/>
    </xf>
    <xf numFmtId="166" fontId="1" fillId="0" borderId="51" xfId="0" applyNumberFormat="1" applyFont="1" applyBorder="1" applyAlignment="1" applyProtection="1">
      <alignment horizontal="left"/>
    </xf>
    <xf numFmtId="49" fontId="1" fillId="0" borderId="38" xfId="0" applyNumberFormat="1" applyFont="1" applyFill="1" applyBorder="1" applyAlignment="1" applyProtection="1">
      <alignment horizontal="center"/>
    </xf>
    <xf numFmtId="49" fontId="1" fillId="0" borderId="26" xfId="0" applyNumberFormat="1" applyFont="1" applyFill="1" applyBorder="1" applyAlignment="1" applyProtection="1">
      <alignment horizontal="center"/>
    </xf>
    <xf numFmtId="49" fontId="1" fillId="0" borderId="35" xfId="0" applyNumberFormat="1" applyFont="1" applyFill="1" applyBorder="1" applyAlignment="1" applyProtection="1">
      <alignment horizontal="center"/>
    </xf>
    <xf numFmtId="49" fontId="1" fillId="0" borderId="48" xfId="0" applyNumberFormat="1" applyFont="1" applyFill="1" applyBorder="1" applyAlignment="1" applyProtection="1">
      <alignment horizontal="center"/>
    </xf>
    <xf numFmtId="49" fontId="1" fillId="0" borderId="37" xfId="0" applyNumberFormat="1" applyFont="1" applyFill="1" applyBorder="1" applyAlignment="1" applyProtection="1">
      <alignment horizontal="center"/>
    </xf>
    <xf numFmtId="49" fontId="38" fillId="6" borderId="35" xfId="0" applyNumberFormat="1" applyFont="1" applyFill="1" applyBorder="1" applyAlignment="1" applyProtection="1">
      <alignment horizontal="center"/>
      <protection locked="0"/>
    </xf>
    <xf numFmtId="49" fontId="38" fillId="6" borderId="48" xfId="0" applyNumberFormat="1" applyFont="1" applyFill="1" applyBorder="1" applyAlignment="1" applyProtection="1">
      <alignment horizontal="center"/>
      <protection locked="0"/>
    </xf>
    <xf numFmtId="49" fontId="38" fillId="6" borderId="37" xfId="0" applyNumberFormat="1" applyFont="1" applyFill="1" applyBorder="1" applyAlignment="1" applyProtection="1">
      <alignment horizontal="center"/>
      <protection locked="0"/>
    </xf>
    <xf numFmtId="0" fontId="9" fillId="0" borderId="48" xfId="0" applyFont="1" applyFill="1" applyBorder="1" applyAlignment="1" applyProtection="1">
      <alignment horizontal="center"/>
    </xf>
    <xf numFmtId="0" fontId="18" fillId="0" borderId="48" xfId="0" applyFont="1" applyFill="1" applyBorder="1" applyAlignment="1" applyProtection="1">
      <alignment horizontal="center"/>
    </xf>
    <xf numFmtId="0" fontId="43" fillId="0" borderId="55" xfId="0" applyNumberFormat="1" applyFont="1" applyFill="1" applyBorder="1" applyAlignment="1" applyProtection="1">
      <alignment horizontal="center" wrapText="1"/>
    </xf>
    <xf numFmtId="0" fontId="43" fillId="0" borderId="6" xfId="0" applyNumberFormat="1" applyFont="1" applyFill="1" applyBorder="1" applyAlignment="1" applyProtection="1">
      <alignment horizontal="center" wrapText="1"/>
    </xf>
    <xf numFmtId="0" fontId="43" fillId="0" borderId="56" xfId="0" applyNumberFormat="1" applyFont="1" applyFill="1" applyBorder="1" applyAlignment="1" applyProtection="1">
      <alignment horizontal="center" wrapText="1"/>
    </xf>
    <xf numFmtId="0" fontId="43" fillId="0" borderId="57" xfId="0" applyNumberFormat="1" applyFont="1" applyFill="1" applyBorder="1" applyAlignment="1" applyProtection="1">
      <alignment horizontal="center" wrapText="1"/>
    </xf>
    <xf numFmtId="0" fontId="1" fillId="0" borderId="38" xfId="0" applyNumberFormat="1" applyFont="1" applyFill="1" applyBorder="1" applyAlignment="1" applyProtection="1">
      <alignment horizontal="center"/>
    </xf>
    <xf numFmtId="0" fontId="1" fillId="0" borderId="26" xfId="0" applyNumberFormat="1" applyFont="1" applyFill="1" applyBorder="1" applyAlignment="1" applyProtection="1">
      <alignment horizontal="center"/>
    </xf>
    <xf numFmtId="0" fontId="1" fillId="0" borderId="69" xfId="0" applyNumberFormat="1" applyFont="1" applyFill="1" applyBorder="1" applyAlignment="1" applyProtection="1">
      <alignment horizontal="center"/>
    </xf>
    <xf numFmtId="0" fontId="1" fillId="0" borderId="29" xfId="0" applyNumberFormat="1" applyFont="1" applyFill="1" applyBorder="1" applyAlignment="1" applyProtection="1">
      <alignment horizontal="center"/>
    </xf>
    <xf numFmtId="0" fontId="9" fillId="0" borderId="1" xfId="0" applyFont="1" applyFill="1" applyBorder="1" applyAlignment="1" applyProtection="1">
      <alignment horizontal="center"/>
    </xf>
    <xf numFmtId="0" fontId="9" fillId="0" borderId="0" xfId="0" applyFont="1" applyFill="1" applyBorder="1" applyAlignment="1" applyProtection="1">
      <alignment horizontal="center"/>
    </xf>
    <xf numFmtId="0" fontId="46" fillId="0" borderId="0" xfId="0" applyFont="1" applyAlignment="1" applyProtection="1">
      <alignment horizontal="center"/>
    </xf>
    <xf numFmtId="0" fontId="38" fillId="6" borderId="1" xfId="0" applyFont="1" applyFill="1" applyBorder="1" applyAlignment="1" applyProtection="1">
      <alignment horizontal="center" wrapText="1"/>
      <protection locked="0"/>
    </xf>
    <xf numFmtId="0" fontId="38" fillId="6" borderId="0" xfId="0" applyFont="1" applyFill="1" applyBorder="1" applyAlignment="1" applyProtection="1">
      <alignment horizontal="center" wrapText="1"/>
      <protection locked="0"/>
    </xf>
    <xf numFmtId="0" fontId="38" fillId="6" borderId="10" xfId="0" applyFont="1" applyFill="1" applyBorder="1" applyAlignment="1" applyProtection="1">
      <alignment horizontal="center" wrapText="1"/>
      <protection locked="0"/>
    </xf>
    <xf numFmtId="0" fontId="38" fillId="0" borderId="61" xfId="0" applyFont="1" applyFill="1" applyBorder="1" applyAlignment="1" applyProtection="1">
      <alignment horizontal="center" wrapText="1"/>
      <protection locked="0"/>
    </xf>
    <xf numFmtId="0" fontId="38" fillId="0" borderId="59" xfId="0" applyFont="1" applyFill="1" applyBorder="1" applyAlignment="1" applyProtection="1">
      <alignment horizontal="center" wrapText="1"/>
      <protection locked="0"/>
    </xf>
    <xf numFmtId="0" fontId="1" fillId="0" borderId="0" xfId="0" applyFont="1" applyFill="1" applyBorder="1" applyAlignment="1" applyProtection="1">
      <alignment horizontal="left" wrapText="1"/>
    </xf>
    <xf numFmtId="0" fontId="46" fillId="0" borderId="0" xfId="0" applyFont="1" applyFill="1" applyBorder="1" applyAlignment="1" applyProtection="1">
      <alignment horizontal="left" wrapText="1"/>
    </xf>
    <xf numFmtId="0" fontId="9" fillId="0" borderId="49" xfId="0" applyFont="1" applyFill="1" applyBorder="1" applyAlignment="1" applyProtection="1">
      <alignment horizontal="center"/>
    </xf>
    <xf numFmtId="0" fontId="9" fillId="0" borderId="50" xfId="0" applyFont="1" applyFill="1" applyBorder="1" applyAlignment="1" applyProtection="1">
      <alignment horizontal="center"/>
    </xf>
    <xf numFmtId="0" fontId="38" fillId="6" borderId="35" xfId="0" applyFont="1" applyFill="1" applyBorder="1" applyAlignment="1" applyProtection="1">
      <alignment horizontal="center" wrapText="1"/>
      <protection locked="0"/>
    </xf>
    <xf numFmtId="0" fontId="38" fillId="6" borderId="48" xfId="0" applyFont="1" applyFill="1" applyBorder="1" applyAlignment="1" applyProtection="1">
      <alignment horizontal="center" wrapText="1"/>
      <protection locked="0"/>
    </xf>
    <xf numFmtId="0" fontId="26" fillId="0" borderId="0" xfId="0" applyFont="1" applyBorder="1" applyAlignment="1" applyProtection="1">
      <alignment horizontal="center"/>
    </xf>
    <xf numFmtId="0" fontId="9" fillId="0" borderId="61" xfId="0" applyFont="1" applyFill="1" applyBorder="1" applyAlignment="1" applyProtection="1">
      <alignment horizontal="center"/>
    </xf>
    <xf numFmtId="0" fontId="9" fillId="0" borderId="59" xfId="0" applyFont="1" applyFill="1" applyBorder="1" applyAlignment="1" applyProtection="1">
      <alignment horizontal="center"/>
    </xf>
    <xf numFmtId="49" fontId="38" fillId="6" borderId="56" xfId="0" applyNumberFormat="1" applyFont="1" applyFill="1" applyBorder="1" applyAlignment="1" applyProtection="1">
      <alignment horizontal="center"/>
      <protection locked="0"/>
    </xf>
    <xf numFmtId="49" fontId="38" fillId="6" borderId="57" xfId="0" applyNumberFormat="1" applyFont="1" applyFill="1" applyBorder="1" applyAlignment="1" applyProtection="1">
      <alignment horizontal="center"/>
      <protection locked="0"/>
    </xf>
    <xf numFmtId="49" fontId="38" fillId="6" borderId="54" xfId="0" applyNumberFormat="1" applyFont="1" applyFill="1" applyBorder="1" applyAlignment="1" applyProtection="1">
      <alignment horizontal="center"/>
      <protection locked="0"/>
    </xf>
    <xf numFmtId="0" fontId="38" fillId="6" borderId="67" xfId="0" applyFont="1" applyFill="1" applyBorder="1" applyAlignment="1" applyProtection="1">
      <alignment horizontal="center" wrapText="1"/>
      <protection locked="0"/>
    </xf>
    <xf numFmtId="0" fontId="38" fillId="6" borderId="58" xfId="0" applyFont="1" applyFill="1" applyBorder="1" applyAlignment="1" applyProtection="1">
      <alignment horizontal="center" wrapText="1"/>
      <protection locked="0"/>
    </xf>
    <xf numFmtId="0" fontId="38" fillId="6" borderId="43" xfId="0" applyFont="1" applyFill="1" applyBorder="1" applyAlignment="1" applyProtection="1">
      <alignment horizontal="center" wrapText="1"/>
      <protection locked="0"/>
    </xf>
    <xf numFmtId="0" fontId="38" fillId="6" borderId="37" xfId="0" applyFont="1" applyFill="1" applyBorder="1" applyAlignment="1" applyProtection="1">
      <alignment horizontal="center" wrapText="1"/>
      <protection locked="0"/>
    </xf>
    <xf numFmtId="49" fontId="20" fillId="0" borderId="0" xfId="0" applyNumberFormat="1" applyFont="1" applyFill="1" applyBorder="1" applyAlignment="1" applyProtection="1">
      <alignment horizontal="center" wrapText="1"/>
    </xf>
    <xf numFmtId="49" fontId="38" fillId="6" borderId="65" xfId="0" applyNumberFormat="1" applyFont="1" applyFill="1" applyBorder="1" applyAlignment="1" applyProtection="1">
      <alignment horizontal="center"/>
      <protection locked="0"/>
    </xf>
    <xf numFmtId="49" fontId="38" fillId="6" borderId="66" xfId="0" applyNumberFormat="1" applyFont="1" applyFill="1" applyBorder="1" applyAlignment="1" applyProtection="1">
      <alignment horizontal="center"/>
      <protection locked="0"/>
    </xf>
    <xf numFmtId="49" fontId="38" fillId="6" borderId="21" xfId="0" applyNumberFormat="1" applyFont="1" applyFill="1" applyBorder="1" applyAlignment="1" applyProtection="1">
      <alignment horizontal="center"/>
      <protection locked="0"/>
    </xf>
    <xf numFmtId="0" fontId="9" fillId="0" borderId="67" xfId="0" applyFont="1" applyFill="1" applyBorder="1" applyAlignment="1" applyProtection="1">
      <alignment horizontal="center"/>
    </xf>
    <xf numFmtId="0" fontId="9" fillId="0" borderId="58" xfId="0" applyFont="1" applyFill="1" applyBorder="1" applyAlignment="1" applyProtection="1">
      <alignment horizontal="center"/>
    </xf>
    <xf numFmtId="0" fontId="1" fillId="0" borderId="55" xfId="0" applyFont="1" applyFill="1" applyBorder="1" applyAlignment="1" applyProtection="1">
      <alignment horizontal="center" wrapText="1"/>
    </xf>
    <xf numFmtId="0" fontId="1" fillId="0" borderId="6" xfId="0" applyFont="1" applyFill="1" applyBorder="1" applyAlignment="1" applyProtection="1">
      <alignment horizontal="center" wrapText="1"/>
    </xf>
    <xf numFmtId="0" fontId="1" fillId="0" borderId="1" xfId="0" applyNumberFormat="1" applyFont="1" applyFill="1" applyBorder="1" applyAlignment="1" applyProtection="1">
      <alignment horizontal="center" wrapText="1"/>
    </xf>
    <xf numFmtId="0" fontId="1" fillId="0" borderId="0" xfId="0" applyNumberFormat="1" applyFont="1" applyFill="1" applyBorder="1" applyAlignment="1" applyProtection="1">
      <alignment horizontal="center" wrapText="1"/>
    </xf>
    <xf numFmtId="0" fontId="1" fillId="0" borderId="10" xfId="0" applyNumberFormat="1" applyFont="1" applyFill="1" applyBorder="1" applyAlignment="1" applyProtection="1">
      <alignment horizontal="center" wrapText="1"/>
    </xf>
    <xf numFmtId="0" fontId="1" fillId="0" borderId="3" xfId="0" applyNumberFormat="1" applyFont="1" applyFill="1" applyBorder="1" applyAlignment="1" applyProtection="1">
      <alignment horizontal="center" wrapText="1"/>
    </xf>
    <xf numFmtId="0" fontId="1" fillId="0" borderId="5" xfId="0" applyNumberFormat="1" applyFont="1" applyFill="1" applyBorder="1" applyAlignment="1" applyProtection="1">
      <alignment horizontal="center" wrapText="1"/>
    </xf>
    <xf numFmtId="0" fontId="1" fillId="0" borderId="8" xfId="0" applyNumberFormat="1" applyFont="1" applyFill="1" applyBorder="1" applyAlignment="1" applyProtection="1">
      <alignment horizontal="center" wrapText="1"/>
    </xf>
    <xf numFmtId="0" fontId="20" fillId="0" borderId="5" xfId="0" applyFont="1" applyBorder="1" applyAlignment="1" applyProtection="1">
      <alignment horizontal="center"/>
    </xf>
    <xf numFmtId="0" fontId="30" fillId="0" borderId="68" xfId="0" applyNumberFormat="1" applyFont="1" applyFill="1" applyBorder="1" applyAlignment="1" applyProtection="1">
      <alignment horizontal="center" wrapText="1"/>
    </xf>
    <xf numFmtId="3" fontId="1" fillId="0" borderId="0" xfId="0" applyNumberFormat="1" applyFont="1" applyFill="1" applyBorder="1" applyAlignment="1" applyProtection="1">
      <alignment horizontal="center" wrapText="1"/>
    </xf>
    <xf numFmtId="0" fontId="3" fillId="0" borderId="0" xfId="0" applyFont="1" applyFill="1" applyBorder="1" applyAlignment="1" applyProtection="1">
      <alignment horizontal="center" wrapText="1"/>
    </xf>
    <xf numFmtId="0" fontId="3" fillId="0" borderId="0" xfId="0" applyFont="1" applyFill="1" applyBorder="1" applyAlignment="1" applyProtection="1"/>
    <xf numFmtId="179" fontId="27" fillId="0" borderId="0" xfId="0" applyNumberFormat="1" applyFont="1" applyFill="1" applyBorder="1" applyAlignment="1" applyProtection="1">
      <alignment horizontal="center"/>
    </xf>
    <xf numFmtId="0" fontId="28" fillId="0" borderId="0" xfId="0" applyFont="1" applyFill="1" applyBorder="1" applyAlignment="1" applyProtection="1">
      <alignment horizontal="center"/>
    </xf>
    <xf numFmtId="0" fontId="1" fillId="0" borderId="39" xfId="0" applyFont="1" applyBorder="1" applyAlignment="1" applyProtection="1">
      <alignment horizontal="center"/>
    </xf>
    <xf numFmtId="0" fontId="1" fillId="0" borderId="48" xfId="0" applyFont="1" applyBorder="1" applyAlignment="1" applyProtection="1">
      <alignment horizontal="center"/>
    </xf>
    <xf numFmtId="0" fontId="1" fillId="0" borderId="51" xfId="0" applyFont="1" applyBorder="1" applyAlignment="1" applyProtection="1">
      <alignment horizontal="center"/>
    </xf>
    <xf numFmtId="0" fontId="20" fillId="0" borderId="0" xfId="0" applyFont="1" applyFill="1" applyBorder="1" applyAlignment="1" applyProtection="1">
      <alignment horizontal="center"/>
    </xf>
    <xf numFmtId="0" fontId="43" fillId="0" borderId="55" xfId="0" applyFont="1" applyFill="1" applyBorder="1" applyAlignment="1" applyProtection="1">
      <alignment horizontal="center"/>
    </xf>
    <xf numFmtId="0" fontId="43" fillId="0" borderId="6" xfId="0" applyFont="1" applyFill="1" applyBorder="1" applyAlignment="1" applyProtection="1">
      <alignment horizontal="center"/>
    </xf>
    <xf numFmtId="0" fontId="43" fillId="0" borderId="56" xfId="0" applyFont="1" applyFill="1" applyBorder="1" applyAlignment="1" applyProtection="1">
      <alignment horizontal="center"/>
    </xf>
    <xf numFmtId="0" fontId="43" fillId="0" borderId="57" xfId="0" applyFont="1" applyFill="1" applyBorder="1" applyAlignment="1" applyProtection="1">
      <alignment horizontal="center"/>
    </xf>
    <xf numFmtId="0" fontId="1" fillId="0" borderId="70" xfId="0" applyFont="1" applyBorder="1" applyAlignment="1" applyProtection="1">
      <alignment horizontal="center"/>
    </xf>
    <xf numFmtId="0" fontId="1" fillId="0" borderId="71" xfId="0" applyFont="1" applyBorder="1" applyAlignment="1" applyProtection="1">
      <alignment horizontal="center"/>
    </xf>
    <xf numFmtId="0" fontId="1" fillId="0" borderId="72" xfId="0" applyFont="1" applyBorder="1" applyAlignment="1" applyProtection="1">
      <alignment horizontal="center"/>
    </xf>
    <xf numFmtId="0" fontId="9" fillId="0" borderId="57" xfId="0" applyFont="1" applyFill="1" applyBorder="1" applyAlignment="1" applyProtection="1">
      <alignment horizontal="center"/>
    </xf>
    <xf numFmtId="0" fontId="18" fillId="0" borderId="57" xfId="0" applyFont="1" applyFill="1" applyBorder="1" applyAlignment="1" applyProtection="1">
      <alignment horizontal="center"/>
    </xf>
    <xf numFmtId="0" fontId="14" fillId="0" borderId="1" xfId="0" applyNumberFormat="1" applyFont="1" applyFill="1" applyBorder="1" applyAlignment="1" applyProtection="1">
      <alignment horizontal="center" wrapText="1"/>
    </xf>
    <xf numFmtId="0" fontId="14" fillId="0" borderId="0" xfId="0" applyNumberFormat="1" applyFont="1" applyFill="1" applyBorder="1" applyAlignment="1" applyProtection="1">
      <alignment horizontal="center" wrapText="1"/>
    </xf>
    <xf numFmtId="0" fontId="14" fillId="0" borderId="10" xfId="0" applyNumberFormat="1" applyFont="1" applyFill="1" applyBorder="1" applyAlignment="1" applyProtection="1">
      <alignment horizontal="center" wrapText="1"/>
    </xf>
    <xf numFmtId="0" fontId="44" fillId="0" borderId="3" xfId="0" applyFont="1" applyFill="1" applyBorder="1" applyAlignment="1" applyProtection="1">
      <alignment horizontal="center" wrapText="1"/>
    </xf>
    <xf numFmtId="0" fontId="44" fillId="0" borderId="5" xfId="0" applyFont="1" applyFill="1" applyBorder="1" applyAlignment="1" applyProtection="1">
      <alignment horizontal="center" wrapText="1"/>
    </xf>
    <xf numFmtId="0" fontId="9" fillId="0" borderId="57" xfId="0" applyFont="1" applyFill="1" applyBorder="1" applyAlignment="1" applyProtection="1">
      <alignment horizontal="center" vertical="center"/>
    </xf>
    <xf numFmtId="0" fontId="9" fillId="0" borderId="73" xfId="0" applyFont="1" applyFill="1" applyBorder="1" applyAlignment="1" applyProtection="1">
      <alignment horizontal="center" vertical="center"/>
    </xf>
    <xf numFmtId="166" fontId="1" fillId="0" borderId="39" xfId="0" applyNumberFormat="1" applyFont="1" applyFill="1" applyBorder="1" applyAlignment="1" applyProtection="1">
      <alignment horizontal="left"/>
    </xf>
    <xf numFmtId="166" fontId="1" fillId="0" borderId="48" xfId="0" applyNumberFormat="1" applyFont="1" applyFill="1" applyBorder="1" applyAlignment="1" applyProtection="1">
      <alignment horizontal="left"/>
    </xf>
    <xf numFmtId="166" fontId="1" fillId="0" borderId="51" xfId="0" applyNumberFormat="1" applyFont="1" applyFill="1" applyBorder="1" applyAlignment="1" applyProtection="1">
      <alignment horizontal="left"/>
    </xf>
    <xf numFmtId="0" fontId="1" fillId="0" borderId="39" xfId="0" applyFont="1" applyBorder="1" applyAlignment="1" applyProtection="1">
      <alignment horizontal="left"/>
    </xf>
    <xf numFmtId="0" fontId="1" fillId="0" borderId="48" xfId="0" applyFont="1" applyBorder="1" applyAlignment="1" applyProtection="1">
      <alignment horizontal="left"/>
    </xf>
    <xf numFmtId="0" fontId="1" fillId="0" borderId="51" xfId="0" applyFont="1" applyBorder="1" applyAlignment="1" applyProtection="1">
      <alignment horizontal="left"/>
    </xf>
    <xf numFmtId="0" fontId="1" fillId="0" borderId="39" xfId="0" applyFont="1" applyFill="1" applyBorder="1" applyAlignment="1" applyProtection="1">
      <alignment horizontal="left"/>
    </xf>
    <xf numFmtId="0" fontId="1" fillId="0" borderId="48" xfId="0" applyFont="1" applyFill="1" applyBorder="1" applyAlignment="1" applyProtection="1">
      <alignment horizontal="left"/>
    </xf>
    <xf numFmtId="0" fontId="1" fillId="0" borderId="51" xfId="0" applyFont="1" applyFill="1" applyBorder="1" applyAlignment="1" applyProtection="1">
      <alignment horizontal="left"/>
    </xf>
    <xf numFmtId="0" fontId="1" fillId="0" borderId="47" xfId="0" applyFont="1" applyFill="1" applyBorder="1" applyAlignment="1" applyProtection="1">
      <alignment horizontal="left"/>
    </xf>
    <xf numFmtId="0" fontId="1" fillId="0" borderId="66" xfId="0" applyFont="1" applyFill="1" applyBorder="1" applyAlignment="1" applyProtection="1">
      <alignment horizontal="left"/>
    </xf>
    <xf numFmtId="0" fontId="1" fillId="0" borderId="74" xfId="0" applyFont="1" applyFill="1" applyBorder="1" applyAlignment="1" applyProtection="1">
      <alignment horizontal="left"/>
    </xf>
    <xf numFmtId="49" fontId="1" fillId="0" borderId="65" xfId="0" applyNumberFormat="1" applyFont="1" applyFill="1" applyBorder="1" applyAlignment="1" applyProtection="1">
      <alignment horizontal="center"/>
    </xf>
    <xf numFmtId="49" fontId="1" fillId="0" borderId="66" xfId="0" applyNumberFormat="1" applyFont="1" applyFill="1" applyBorder="1" applyAlignment="1" applyProtection="1">
      <alignment horizontal="center"/>
    </xf>
    <xf numFmtId="49" fontId="1" fillId="0" borderId="21" xfId="0" applyNumberFormat="1" applyFont="1" applyFill="1" applyBorder="1" applyAlignment="1" applyProtection="1">
      <alignment horizontal="center"/>
    </xf>
    <xf numFmtId="0" fontId="1" fillId="3" borderId="0" xfId="0" applyFont="1" applyFill="1" applyBorder="1" applyAlignment="1" applyProtection="1">
      <alignment horizontal="center"/>
      <protection hidden="1"/>
    </xf>
    <xf numFmtId="0" fontId="1" fillId="3" borderId="5" xfId="0" applyFont="1" applyFill="1" applyBorder="1" applyAlignment="1" applyProtection="1">
      <alignment horizontal="center"/>
      <protection hidden="1"/>
    </xf>
    <xf numFmtId="0" fontId="1" fillId="4" borderId="0" xfId="0" applyFont="1" applyFill="1" applyBorder="1" applyAlignment="1" applyProtection="1">
      <alignment horizontal="center"/>
      <protection hidden="1"/>
    </xf>
    <xf numFmtId="0" fontId="1" fillId="4" borderId="5" xfId="0" applyFont="1" applyFill="1" applyBorder="1" applyAlignment="1" applyProtection="1">
      <alignment horizontal="center"/>
      <protection hidden="1"/>
    </xf>
    <xf numFmtId="0" fontId="1" fillId="3" borderId="55" xfId="0" applyFont="1" applyFill="1" applyBorder="1" applyAlignment="1" applyProtection="1">
      <alignment horizontal="center"/>
      <protection hidden="1"/>
    </xf>
    <xf numFmtId="0" fontId="1" fillId="3" borderId="13" xfId="0" applyFont="1" applyFill="1" applyBorder="1" applyAlignment="1" applyProtection="1">
      <alignment horizontal="center"/>
      <protection hidden="1"/>
    </xf>
    <xf numFmtId="0" fontId="1" fillId="3" borderId="27" xfId="0" applyFont="1" applyFill="1" applyBorder="1" applyAlignment="1" applyProtection="1">
      <alignment horizontal="center"/>
      <protection hidden="1"/>
    </xf>
    <xf numFmtId="0" fontId="1" fillId="3" borderId="50" xfId="0" applyFont="1" applyFill="1" applyBorder="1" applyAlignment="1" applyProtection="1">
      <alignment horizontal="center"/>
      <protection hidden="1"/>
    </xf>
    <xf numFmtId="49" fontId="1" fillId="0" borderId="35" xfId="0" applyNumberFormat="1" applyFont="1" applyFill="1" applyBorder="1" applyAlignment="1" applyProtection="1">
      <alignment horizontal="left"/>
      <protection hidden="1"/>
    </xf>
    <xf numFmtId="49" fontId="1" fillId="0" borderId="48" xfId="0" applyNumberFormat="1" applyFont="1" applyFill="1" applyBorder="1" applyAlignment="1" applyProtection="1">
      <alignment horizontal="left"/>
      <protection hidden="1"/>
    </xf>
    <xf numFmtId="49" fontId="1" fillId="0" borderId="51" xfId="0" applyNumberFormat="1" applyFont="1" applyFill="1" applyBorder="1" applyAlignment="1" applyProtection="1">
      <alignment horizontal="left"/>
      <protection hidden="1"/>
    </xf>
    <xf numFmtId="0" fontId="1" fillId="2" borderId="0" xfId="0" applyFont="1" applyFill="1" applyBorder="1" applyAlignment="1" applyProtection="1">
      <alignment horizontal="center" wrapText="1"/>
      <protection hidden="1"/>
    </xf>
    <xf numFmtId="0" fontId="45" fillId="0" borderId="75" xfId="3" applyFont="1" applyFill="1" applyBorder="1" applyAlignment="1">
      <alignment horizontal="center" vertical="center"/>
    </xf>
    <xf numFmtId="0" fontId="45" fillId="0" borderId="76" xfId="3" applyFont="1" applyFill="1" applyBorder="1" applyAlignment="1">
      <alignment horizontal="center" vertical="center"/>
    </xf>
    <xf numFmtId="0" fontId="45" fillId="0" borderId="55" xfId="3" applyFont="1" applyFill="1" applyBorder="1" applyAlignment="1">
      <alignment horizontal="center"/>
    </xf>
    <xf numFmtId="0" fontId="45" fillId="0" borderId="6" xfId="3" applyFont="1" applyFill="1" applyBorder="1" applyAlignment="1">
      <alignment horizontal="center"/>
    </xf>
    <xf numFmtId="0" fontId="45" fillId="0" borderId="13" xfId="3" applyFont="1" applyFill="1" applyBorder="1" applyAlignment="1">
      <alignment horizontal="center"/>
    </xf>
    <xf numFmtId="0" fontId="45" fillId="0" borderId="77" xfId="3" applyFont="1" applyFill="1" applyBorder="1" applyAlignment="1">
      <alignment horizontal="center" vertical="center"/>
    </xf>
  </cellXfs>
  <cellStyles count="4">
    <cellStyle name="Hyperlink" xfId="1" builtinId="8"/>
    <cellStyle name="Hyperlink 2" xfId="2"/>
    <cellStyle name="Normal" xfId="0" builtinId="0"/>
    <cellStyle name="Normal 2" xfId="3"/>
  </cellStyles>
  <dxfs count="9">
    <dxf>
      <font>
        <condense val="0"/>
        <extend val="0"/>
        <color indexed="57"/>
      </font>
    </dxf>
    <dxf>
      <font>
        <condense val="0"/>
        <extend val="0"/>
        <color indexed="10"/>
      </font>
    </dxf>
    <dxf>
      <font>
        <condense val="0"/>
        <extend val="0"/>
        <color indexed="10"/>
      </font>
    </dxf>
    <dxf>
      <font>
        <b val="0"/>
        <i val="0"/>
        <condense val="0"/>
        <extend val="0"/>
      </font>
      <fill>
        <patternFill>
          <bgColor indexed="13"/>
        </patternFill>
      </fill>
    </dxf>
    <dxf>
      <font>
        <condense val="0"/>
        <extend val="0"/>
        <color auto="1"/>
      </font>
      <fill>
        <patternFill>
          <bgColor indexed="55"/>
        </patternFill>
      </fill>
    </dxf>
    <dxf>
      <font>
        <condense val="0"/>
        <extend val="0"/>
        <color auto="1"/>
      </font>
      <fill>
        <patternFill>
          <bgColor indexed="55"/>
        </patternFill>
      </fill>
    </dxf>
    <dxf>
      <font>
        <b/>
        <i val="0"/>
        <color indexed="51"/>
        <name val="Cambria"/>
        <scheme val="none"/>
      </font>
      <fill>
        <patternFill patternType="none">
          <bgColor indexed="65"/>
        </patternFill>
      </fill>
    </dxf>
    <dxf>
      <font>
        <b/>
        <i val="0"/>
        <condense val="0"/>
        <extend val="0"/>
        <color indexed="17"/>
      </font>
      <fill>
        <patternFill patternType="none">
          <bgColor indexed="65"/>
        </patternFill>
      </fill>
    </dxf>
    <dxf>
      <font>
        <b/>
        <i val="0"/>
        <condense val="0"/>
        <extend val="0"/>
        <color indexed="12"/>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38101</xdr:colOff>
      <xdr:row>0</xdr:row>
      <xdr:rowOff>209550</xdr:rowOff>
    </xdr:from>
    <xdr:to>
      <xdr:col>13</xdr:col>
      <xdr:colOff>571501</xdr:colOff>
      <xdr:row>2</xdr:row>
      <xdr:rowOff>161925</xdr:rowOff>
    </xdr:to>
    <xdr:sp macro="" textlink="">
      <xdr:nvSpPr>
        <xdr:cNvPr id="2049" name="Text Box 1"/>
        <xdr:cNvSpPr txBox="1">
          <a:spLocks noChangeArrowheads="1"/>
        </xdr:cNvSpPr>
      </xdr:nvSpPr>
      <xdr:spPr bwMode="auto">
        <a:xfrm>
          <a:off x="9058836" y="209550"/>
          <a:ext cx="3021106" cy="400610"/>
        </a:xfrm>
        <a:prstGeom prst="rect">
          <a:avLst/>
        </a:prstGeom>
        <a:solidFill>
          <a:srgbClr val="008000"/>
        </a:solidFill>
        <a:ln w="9525">
          <a:noFill/>
          <a:miter lim="800000"/>
          <a:headEnd/>
          <a:tailEnd/>
        </a:ln>
      </xdr:spPr>
      <xdr:txBody>
        <a:bodyPr vertOverflow="clip" wrap="square" lIns="36576" tIns="27432" rIns="0" bIns="0" anchor="t" upright="1"/>
        <a:lstStyle/>
        <a:p>
          <a:pPr algn="l" rtl="0">
            <a:defRPr sz="1000"/>
          </a:pPr>
          <a:r>
            <a:rPr lang="en-AU" sz="1600" b="1" i="0" u="none" strike="noStrike" baseline="0">
              <a:solidFill>
                <a:srgbClr val="FFFFFF"/>
              </a:solidFill>
              <a:latin typeface="Agency FB"/>
            </a:rPr>
            <a:t>  Department of Agriculture and Fisheries</a:t>
          </a:r>
        </a:p>
      </xdr:txBody>
    </xdr:sp>
    <xdr:clientData/>
  </xdr:twoCellAnchor>
  <xdr:twoCellAnchor>
    <xdr:from>
      <xdr:col>12</xdr:col>
      <xdr:colOff>485775</xdr:colOff>
      <xdr:row>53</xdr:row>
      <xdr:rowOff>180975</xdr:rowOff>
    </xdr:from>
    <xdr:to>
      <xdr:col>14</xdr:col>
      <xdr:colOff>266700</xdr:colOff>
      <xdr:row>61</xdr:row>
      <xdr:rowOff>142875</xdr:rowOff>
    </xdr:to>
    <xdr:pic>
      <xdr:nvPicPr>
        <xdr:cNvPr id="2054" name="Picture 2" descr="2262_DAFF Report covers-5"/>
        <xdr:cNvPicPr>
          <a:picLocks noChangeAspect="1" noChangeArrowheads="1"/>
        </xdr:cNvPicPr>
      </xdr:nvPicPr>
      <xdr:blipFill>
        <a:blip xmlns:r="http://schemas.openxmlformats.org/officeDocument/2006/relationships" r:embed="rId1" cstate="print"/>
        <a:srcRect l="82042" t="88245" r="9573" b="4185"/>
        <a:stretch>
          <a:fillRect/>
        </a:stretch>
      </xdr:blipFill>
      <xdr:spPr bwMode="auto">
        <a:xfrm>
          <a:off x="11401425" y="12230100"/>
          <a:ext cx="1000125" cy="1371600"/>
        </a:xfrm>
        <a:prstGeom prst="rect">
          <a:avLst/>
        </a:prstGeom>
        <a:noFill/>
        <a:ln w="9525">
          <a:noFill/>
          <a:miter lim="800000"/>
          <a:headEnd/>
          <a:tailEnd/>
        </a:ln>
      </xdr:spPr>
    </xdr:pic>
    <xdr:clientData/>
  </xdr:twoCellAnchor>
  <xdr:twoCellAnchor editAs="oneCell">
    <xdr:from>
      <xdr:col>0</xdr:col>
      <xdr:colOff>400050</xdr:colOff>
      <xdr:row>54</xdr:row>
      <xdr:rowOff>190500</xdr:rowOff>
    </xdr:from>
    <xdr:to>
      <xdr:col>4</xdr:col>
      <xdr:colOff>247650</xdr:colOff>
      <xdr:row>59</xdr:row>
      <xdr:rowOff>85725</xdr:rowOff>
    </xdr:to>
    <xdr:pic>
      <xdr:nvPicPr>
        <xdr:cNvPr id="2055" name="Picture 3" descr="rirdc-logo"/>
        <xdr:cNvPicPr>
          <a:picLocks noChangeAspect="1" noChangeArrowheads="1"/>
        </xdr:cNvPicPr>
      </xdr:nvPicPr>
      <xdr:blipFill>
        <a:blip xmlns:r="http://schemas.openxmlformats.org/officeDocument/2006/relationships" r:embed="rId2" cstate="print"/>
        <a:srcRect/>
        <a:stretch>
          <a:fillRect/>
        </a:stretch>
      </xdr:blipFill>
      <xdr:spPr bwMode="auto">
        <a:xfrm>
          <a:off x="400050" y="12439650"/>
          <a:ext cx="3009900" cy="7810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ultryventilation.com/spreadsheet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3"/>
  <sheetViews>
    <sheetView showGridLines="0" showRowColHeaders="0" tabSelected="1" zoomScale="85" workbookViewId="0">
      <pane ySplit="3" topLeftCell="A4" activePane="bottomLeft" state="frozen"/>
      <selection pane="bottomLeft" activeCell="I36" sqref="I36"/>
    </sheetView>
  </sheetViews>
  <sheetFormatPr defaultRowHeight="12.75"/>
  <cols>
    <col min="1" max="2" width="9.140625" style="101"/>
    <col min="3" max="3" width="11.42578125" style="101" customWidth="1"/>
    <col min="4" max="4" width="17.7109375" style="101" customWidth="1"/>
    <col min="5" max="5" width="12.5703125" style="101" customWidth="1"/>
    <col min="6" max="6" width="35.7109375" style="101" customWidth="1"/>
    <col min="7" max="7" width="9.140625" style="101"/>
    <col min="8" max="8" width="22" style="101" customWidth="1"/>
    <col min="9" max="9" width="8.5703125" style="101" customWidth="1"/>
    <col min="10" max="10" width="10" style="101" customWidth="1"/>
    <col min="11" max="14" width="9.140625" style="101"/>
    <col min="15" max="15" width="26.42578125" style="101" customWidth="1"/>
    <col min="16" max="16384" width="9.140625" style="101"/>
  </cols>
  <sheetData>
    <row r="1" spans="1:15" ht="22.5" customHeight="1">
      <c r="A1" s="288"/>
      <c r="B1" s="289"/>
      <c r="C1" s="289"/>
      <c r="D1" s="289"/>
      <c r="E1" s="289"/>
      <c r="F1" s="289"/>
      <c r="G1" s="289"/>
      <c r="H1" s="289"/>
      <c r="I1" s="289"/>
      <c r="J1" s="289"/>
      <c r="K1" s="289"/>
      <c r="L1" s="289"/>
      <c r="M1" s="289"/>
      <c r="N1" s="289"/>
      <c r="O1" s="290"/>
    </row>
    <row r="2" spans="1:15">
      <c r="A2" s="277"/>
      <c r="B2" s="278"/>
      <c r="C2" s="278"/>
      <c r="D2" s="278"/>
      <c r="E2" s="278"/>
      <c r="F2" s="278"/>
      <c r="G2" s="278"/>
      <c r="H2" s="278"/>
      <c r="I2" s="278"/>
      <c r="J2" s="278"/>
      <c r="K2" s="278"/>
      <c r="L2" s="278"/>
      <c r="M2" s="278"/>
      <c r="N2" s="278"/>
      <c r="O2" s="279"/>
    </row>
    <row r="3" spans="1:15" ht="22.5" customHeight="1">
      <c r="A3" s="291"/>
      <c r="B3" s="292"/>
      <c r="C3" s="292"/>
      <c r="D3" s="292"/>
      <c r="E3" s="292"/>
      <c r="F3" s="292"/>
      <c r="G3" s="292"/>
      <c r="H3" s="292"/>
      <c r="I3" s="292"/>
      <c r="J3" s="292"/>
      <c r="K3" s="292"/>
      <c r="L3" s="292"/>
      <c r="M3" s="292"/>
      <c r="N3" s="292"/>
      <c r="O3" s="293"/>
    </row>
    <row r="4" spans="1:15" ht="37.5">
      <c r="A4" s="280"/>
      <c r="B4" s="281" t="s">
        <v>135</v>
      </c>
      <c r="C4" s="278"/>
      <c r="D4" s="278"/>
      <c r="E4" s="278"/>
      <c r="F4" s="278"/>
      <c r="G4" s="278"/>
      <c r="H4" s="278"/>
      <c r="I4" s="278"/>
      <c r="J4" s="278"/>
      <c r="K4" s="278"/>
      <c r="L4" s="278"/>
      <c r="M4" s="278"/>
      <c r="N4" s="278"/>
      <c r="O4" s="279"/>
    </row>
    <row r="5" spans="1:15">
      <c r="A5" s="277"/>
      <c r="B5" s="278"/>
      <c r="C5" s="278"/>
      <c r="D5" s="278"/>
      <c r="E5" s="278"/>
      <c r="F5" s="278"/>
      <c r="G5" s="278"/>
      <c r="H5" s="278"/>
      <c r="I5" s="278"/>
      <c r="J5" s="278"/>
      <c r="K5" s="278"/>
      <c r="L5" s="278"/>
      <c r="M5" s="278"/>
      <c r="N5" s="278"/>
      <c r="O5" s="279"/>
    </row>
    <row r="6" spans="1:15" ht="18.75" customHeight="1">
      <c r="A6" s="277"/>
      <c r="B6" s="88" t="s">
        <v>127</v>
      </c>
      <c r="C6" s="278"/>
      <c r="D6" s="278"/>
      <c r="E6" s="278"/>
      <c r="F6" s="278"/>
      <c r="G6" s="278"/>
      <c r="H6" s="278"/>
      <c r="I6" s="278"/>
      <c r="J6" s="278"/>
      <c r="K6" s="278"/>
      <c r="L6" s="278"/>
      <c r="M6" s="278"/>
      <c r="N6" s="278"/>
      <c r="O6" s="279"/>
    </row>
    <row r="7" spans="1:15" ht="18.75" customHeight="1">
      <c r="A7" s="277"/>
      <c r="B7" s="88" t="s">
        <v>192</v>
      </c>
      <c r="C7" s="278"/>
      <c r="D7" s="278"/>
      <c r="E7" s="278"/>
      <c r="F7" s="278"/>
      <c r="G7" s="278"/>
      <c r="H7" s="278"/>
      <c r="I7" s="278"/>
      <c r="J7" s="278"/>
      <c r="K7" s="278"/>
      <c r="L7" s="278"/>
      <c r="M7" s="278"/>
      <c r="N7" s="278"/>
      <c r="O7" s="279"/>
    </row>
    <row r="8" spans="1:15">
      <c r="A8" s="277"/>
      <c r="B8" s="278"/>
      <c r="C8" s="278"/>
      <c r="D8" s="278"/>
      <c r="E8" s="278"/>
      <c r="F8" s="278"/>
      <c r="G8" s="278"/>
      <c r="H8" s="278"/>
      <c r="I8" s="278"/>
      <c r="J8" s="278"/>
      <c r="K8" s="278"/>
      <c r="L8" s="278"/>
      <c r="M8" s="278"/>
      <c r="N8" s="278"/>
      <c r="O8" s="279"/>
    </row>
    <row r="9" spans="1:15" ht="15.75">
      <c r="A9" s="277"/>
      <c r="B9" s="282" t="s">
        <v>130</v>
      </c>
      <c r="C9" s="278"/>
      <c r="D9" s="445" t="s">
        <v>131</v>
      </c>
      <c r="E9" s="283" t="s">
        <v>132</v>
      </c>
      <c r="F9" s="278"/>
      <c r="G9" s="278"/>
      <c r="H9" s="278"/>
      <c r="I9" s="278"/>
      <c r="J9" s="278"/>
      <c r="K9" s="278"/>
      <c r="L9" s="278"/>
      <c r="M9" s="278"/>
      <c r="N9" s="278"/>
      <c r="O9" s="279"/>
    </row>
    <row r="10" spans="1:15" ht="15">
      <c r="A10" s="277"/>
      <c r="B10" s="284"/>
      <c r="C10" s="278"/>
      <c r="D10" s="278"/>
      <c r="E10" s="278"/>
      <c r="F10" s="278"/>
      <c r="G10" s="278"/>
      <c r="H10" s="278"/>
      <c r="I10" s="278"/>
      <c r="J10" s="278"/>
      <c r="K10" s="278"/>
      <c r="L10" s="278"/>
      <c r="M10" s="278"/>
      <c r="N10" s="278"/>
      <c r="O10" s="279"/>
    </row>
    <row r="11" spans="1:15" ht="18.75" customHeight="1">
      <c r="A11" s="285">
        <v>1</v>
      </c>
      <c r="B11" s="4" t="s">
        <v>193</v>
      </c>
      <c r="C11" s="278"/>
      <c r="D11" s="278"/>
      <c r="E11" s="278"/>
      <c r="F11" s="278"/>
      <c r="G11" s="278"/>
      <c r="H11" s="278"/>
      <c r="I11" s="278"/>
      <c r="J11" s="278"/>
      <c r="K11" s="278"/>
      <c r="L11" s="278"/>
      <c r="M11" s="278"/>
      <c r="N11" s="278"/>
      <c r="O11" s="279"/>
    </row>
    <row r="12" spans="1:15" ht="19.5" customHeight="1">
      <c r="A12" s="286"/>
      <c r="B12" s="283" t="s">
        <v>166</v>
      </c>
      <c r="C12" s="278"/>
      <c r="D12" s="278"/>
      <c r="E12" s="278"/>
      <c r="F12" s="278"/>
      <c r="G12" s="278"/>
      <c r="H12" s="278"/>
      <c r="I12" s="278"/>
      <c r="J12" s="278"/>
      <c r="K12" s="278"/>
      <c r="L12" s="278"/>
      <c r="M12" s="278"/>
      <c r="N12" s="278"/>
      <c r="O12" s="279"/>
    </row>
    <row r="13" spans="1:15" ht="18.75" customHeight="1">
      <c r="A13" s="286"/>
      <c r="B13" s="283" t="s">
        <v>134</v>
      </c>
      <c r="C13" s="278"/>
      <c r="D13" s="278"/>
      <c r="E13" s="278"/>
      <c r="F13" s="278"/>
      <c r="G13" s="278"/>
      <c r="H13" s="278"/>
      <c r="I13" s="278"/>
      <c r="J13" s="278"/>
      <c r="K13" s="278"/>
      <c r="L13" s="278"/>
      <c r="M13" s="278"/>
      <c r="N13" s="278"/>
      <c r="O13" s="279"/>
    </row>
    <row r="14" spans="1:15" ht="18.75" customHeight="1">
      <c r="A14" s="286"/>
      <c r="B14" s="283" t="s">
        <v>137</v>
      </c>
      <c r="C14" s="278"/>
      <c r="D14" s="278"/>
      <c r="E14" s="278"/>
      <c r="F14" s="278"/>
      <c r="G14" s="278"/>
      <c r="H14" s="278"/>
      <c r="I14" s="278"/>
      <c r="J14" s="278"/>
      <c r="K14" s="278"/>
      <c r="L14" s="278"/>
      <c r="M14" s="278"/>
      <c r="N14" s="278"/>
      <c r="O14" s="279"/>
    </row>
    <row r="15" spans="1:15" ht="18.75" customHeight="1">
      <c r="A15" s="286"/>
      <c r="B15" s="283" t="s">
        <v>167</v>
      </c>
      <c r="C15" s="278"/>
      <c r="D15" s="278"/>
      <c r="E15" s="278"/>
      <c r="F15" s="278"/>
      <c r="G15" s="278"/>
      <c r="H15" s="278"/>
      <c r="I15" s="278"/>
      <c r="J15" s="278"/>
      <c r="K15" s="278"/>
      <c r="L15" s="278"/>
      <c r="M15" s="278"/>
      <c r="N15" s="278"/>
      <c r="O15" s="279"/>
    </row>
    <row r="16" spans="1:15" ht="27" customHeight="1">
      <c r="A16" s="285">
        <v>2</v>
      </c>
      <c r="B16" s="4" t="s">
        <v>154</v>
      </c>
      <c r="C16" s="278"/>
      <c r="D16" s="278"/>
      <c r="E16" s="278"/>
      <c r="F16" s="278"/>
      <c r="G16" s="278"/>
      <c r="H16" s="278"/>
      <c r="I16" s="278"/>
      <c r="J16" s="278"/>
      <c r="K16" s="278"/>
      <c r="L16" s="278"/>
      <c r="M16" s="278"/>
      <c r="N16" s="278"/>
      <c r="O16" s="279"/>
    </row>
    <row r="17" spans="1:15" ht="19.5" customHeight="1">
      <c r="A17" s="286"/>
      <c r="B17" s="62" t="s">
        <v>153</v>
      </c>
      <c r="C17" s="278"/>
      <c r="D17" s="278"/>
      <c r="E17" s="278"/>
      <c r="F17" s="278"/>
      <c r="G17" s="278"/>
      <c r="H17" s="278"/>
      <c r="I17" s="278"/>
      <c r="J17" s="278"/>
      <c r="K17" s="278"/>
      <c r="L17" s="278"/>
      <c r="M17" s="278"/>
      <c r="N17" s="278"/>
      <c r="O17" s="279"/>
    </row>
    <row r="18" spans="1:15" ht="18.75" customHeight="1">
      <c r="A18" s="286"/>
      <c r="B18" s="62" t="s">
        <v>152</v>
      </c>
      <c r="C18" s="278"/>
      <c r="D18" s="278"/>
      <c r="E18" s="278"/>
      <c r="F18" s="278"/>
      <c r="G18" s="278"/>
      <c r="H18" s="278"/>
      <c r="I18" s="278"/>
      <c r="J18" s="278"/>
      <c r="K18" s="278"/>
      <c r="L18" s="278"/>
      <c r="M18" s="278"/>
      <c r="N18" s="278"/>
      <c r="O18" s="279"/>
    </row>
    <row r="19" spans="1:15" ht="18.75" customHeight="1">
      <c r="A19" s="286"/>
      <c r="B19" s="62" t="s">
        <v>191</v>
      </c>
      <c r="C19" s="278"/>
      <c r="D19" s="278"/>
      <c r="E19" s="278"/>
      <c r="F19" s="278"/>
      <c r="G19" s="278"/>
      <c r="H19" s="278"/>
      <c r="I19" s="278"/>
      <c r="J19" s="278"/>
      <c r="K19" s="278"/>
      <c r="L19" s="278"/>
      <c r="M19" s="278"/>
      <c r="N19" s="278"/>
      <c r="O19" s="279"/>
    </row>
    <row r="20" spans="1:15" ht="18.75" customHeight="1">
      <c r="A20" s="286"/>
      <c r="B20" s="62" t="s">
        <v>196</v>
      </c>
      <c r="C20" s="278"/>
      <c r="D20" s="278"/>
      <c r="E20" s="278"/>
      <c r="F20" s="278"/>
      <c r="G20" s="278"/>
      <c r="H20" s="278"/>
      <c r="I20" s="278"/>
      <c r="J20" s="278"/>
      <c r="K20" s="278"/>
      <c r="L20" s="278"/>
      <c r="M20" s="278"/>
      <c r="N20" s="278"/>
      <c r="O20" s="279"/>
    </row>
    <row r="21" spans="1:15" ht="18.75" customHeight="1">
      <c r="A21" s="286"/>
      <c r="B21" s="62" t="s">
        <v>195</v>
      </c>
      <c r="C21" s="278"/>
      <c r="D21" s="278"/>
      <c r="E21" s="278"/>
      <c r="F21" s="278"/>
      <c r="G21" s="278"/>
      <c r="H21" s="278"/>
      <c r="I21" s="278"/>
      <c r="J21" s="278"/>
      <c r="K21" s="278"/>
      <c r="L21" s="278"/>
      <c r="M21" s="278"/>
      <c r="N21" s="278"/>
      <c r="O21" s="279"/>
    </row>
    <row r="22" spans="1:15" ht="18.75" customHeight="1">
      <c r="A22" s="286"/>
      <c r="B22" s="283" t="s">
        <v>182</v>
      </c>
      <c r="C22" s="278"/>
      <c r="D22" s="278"/>
      <c r="E22" s="278"/>
      <c r="F22" s="278"/>
      <c r="G22" s="278"/>
      <c r="H22" s="278"/>
      <c r="I22" s="278"/>
      <c r="J22" s="278"/>
      <c r="K22" s="278"/>
      <c r="L22" s="278"/>
      <c r="M22" s="278"/>
      <c r="N22" s="278"/>
      <c r="O22" s="279"/>
    </row>
    <row r="23" spans="1:15" ht="13.5" customHeight="1">
      <c r="A23" s="277"/>
      <c r="B23" s="283"/>
      <c r="C23" s="278"/>
      <c r="D23" s="278"/>
      <c r="E23" s="278"/>
      <c r="F23" s="278"/>
      <c r="G23" s="278"/>
      <c r="H23" s="278"/>
      <c r="I23" s="278"/>
      <c r="J23" s="278"/>
      <c r="K23" s="278"/>
      <c r="L23" s="278"/>
      <c r="M23" s="278"/>
      <c r="N23" s="278"/>
      <c r="O23" s="279"/>
    </row>
    <row r="24" spans="1:15" ht="15.75">
      <c r="A24" s="277"/>
      <c r="B24" s="287" t="s">
        <v>129</v>
      </c>
      <c r="C24" s="278"/>
      <c r="D24" s="278"/>
      <c r="E24" s="278"/>
      <c r="F24" s="278"/>
      <c r="G24" s="278"/>
      <c r="H24" s="278"/>
      <c r="I24" s="278"/>
      <c r="J24" s="278"/>
      <c r="K24" s="278"/>
      <c r="L24" s="278"/>
      <c r="M24" s="278"/>
      <c r="N24" s="278"/>
      <c r="O24" s="279"/>
    </row>
    <row r="25" spans="1:15" ht="18.75" customHeight="1">
      <c r="A25" s="277"/>
      <c r="B25" s="283" t="s">
        <v>144</v>
      </c>
      <c r="C25" s="278"/>
      <c r="D25" s="278"/>
      <c r="E25" s="278"/>
      <c r="F25" s="278"/>
      <c r="G25" s="278"/>
      <c r="H25" s="278"/>
      <c r="I25" s="278"/>
      <c r="J25" s="278"/>
      <c r="K25" s="278"/>
      <c r="L25" s="278"/>
      <c r="M25" s="278"/>
      <c r="N25" s="278"/>
      <c r="O25" s="279"/>
    </row>
    <row r="26" spans="1:15" ht="18.75" customHeight="1">
      <c r="A26" s="277"/>
      <c r="B26" s="283" t="s">
        <v>179</v>
      </c>
      <c r="C26" s="278"/>
      <c r="D26" s="278"/>
      <c r="E26" s="278"/>
      <c r="F26" s="278"/>
      <c r="G26" s="278"/>
      <c r="H26" s="278"/>
      <c r="I26" s="278"/>
      <c r="J26" s="278"/>
      <c r="K26" s="278"/>
      <c r="L26" s="278"/>
      <c r="M26" s="278"/>
      <c r="N26" s="278"/>
      <c r="O26" s="279"/>
    </row>
    <row r="27" spans="1:15" ht="18.75" customHeight="1">
      <c r="A27" s="277"/>
      <c r="B27" s="283" t="s">
        <v>133</v>
      </c>
      <c r="C27" s="278"/>
      <c r="D27" s="278"/>
      <c r="E27" s="278"/>
      <c r="F27" s="278"/>
      <c r="G27" s="278"/>
      <c r="H27" s="278"/>
      <c r="I27" s="278"/>
      <c r="J27" s="278"/>
      <c r="K27" s="278"/>
      <c r="L27" s="278"/>
      <c r="M27" s="278"/>
      <c r="N27" s="278"/>
      <c r="O27" s="279"/>
    </row>
    <row r="28" spans="1:15" ht="24" customHeight="1">
      <c r="A28" s="277"/>
      <c r="B28" s="62" t="s">
        <v>159</v>
      </c>
      <c r="C28" s="278"/>
      <c r="D28" s="278"/>
      <c r="E28" s="278"/>
      <c r="F28" s="278"/>
      <c r="G28" s="278"/>
      <c r="H28" s="278"/>
      <c r="I28" s="278"/>
      <c r="J28" s="278"/>
      <c r="K28" s="278"/>
      <c r="L28" s="278"/>
      <c r="M28" s="278"/>
      <c r="N28" s="278"/>
      <c r="O28" s="279"/>
    </row>
    <row r="29" spans="1:15" ht="18.75" customHeight="1">
      <c r="A29" s="277"/>
      <c r="B29" s="283" t="s">
        <v>138</v>
      </c>
      <c r="C29" s="278"/>
      <c r="D29" s="278"/>
      <c r="E29" s="278"/>
      <c r="F29" s="278"/>
      <c r="G29" s="278"/>
      <c r="H29" s="278"/>
      <c r="I29" s="278"/>
      <c r="J29" s="278"/>
      <c r="K29" s="278"/>
      <c r="L29" s="278"/>
      <c r="M29" s="278"/>
      <c r="N29" s="278"/>
      <c r="O29" s="279"/>
    </row>
    <row r="30" spans="1:15" ht="18.75" customHeight="1">
      <c r="A30" s="277"/>
      <c r="B30" s="283" t="s">
        <v>160</v>
      </c>
      <c r="C30" s="278"/>
      <c r="D30" s="278"/>
      <c r="E30" s="278"/>
      <c r="F30" s="278"/>
      <c r="G30" s="278"/>
      <c r="H30" s="278"/>
      <c r="I30" s="278"/>
      <c r="J30" s="278"/>
      <c r="K30" s="278"/>
      <c r="L30" s="278"/>
      <c r="M30" s="278"/>
      <c r="N30" s="278"/>
      <c r="O30" s="279"/>
    </row>
    <row r="31" spans="1:15" ht="18.75" customHeight="1">
      <c r="A31" s="277"/>
      <c r="B31" s="283" t="s">
        <v>136</v>
      </c>
      <c r="C31" s="278"/>
      <c r="D31" s="278"/>
      <c r="E31" s="278"/>
      <c r="F31" s="278"/>
      <c r="G31" s="278"/>
      <c r="H31" s="278"/>
      <c r="I31" s="278"/>
      <c r="J31" s="278"/>
      <c r="K31" s="278"/>
      <c r="L31" s="278"/>
      <c r="M31" s="278"/>
      <c r="N31" s="278"/>
      <c r="O31" s="279"/>
    </row>
    <row r="32" spans="1:15" ht="13.5" thickBot="1">
      <c r="A32" s="277"/>
      <c r="B32" s="278"/>
      <c r="C32" s="278"/>
      <c r="D32" s="278"/>
      <c r="E32" s="278"/>
      <c r="F32" s="278"/>
      <c r="G32" s="278"/>
      <c r="H32" s="278"/>
      <c r="I32" s="278"/>
      <c r="J32" s="278"/>
      <c r="K32" s="278"/>
      <c r="L32" s="278"/>
      <c r="M32" s="278"/>
      <c r="N32" s="278"/>
      <c r="O32" s="279"/>
    </row>
    <row r="33" spans="1:15" ht="14.25" customHeight="1">
      <c r="A33" s="277"/>
      <c r="B33" s="278"/>
      <c r="C33" s="278"/>
      <c r="D33" s="278"/>
      <c r="E33" s="278"/>
      <c r="F33" s="485" t="s">
        <v>38</v>
      </c>
      <c r="G33" s="486"/>
      <c r="H33" s="486"/>
      <c r="I33" s="487"/>
      <c r="J33" s="278"/>
      <c r="K33" s="278"/>
      <c r="L33" s="278"/>
      <c r="M33" s="278"/>
      <c r="N33" s="278"/>
      <c r="O33" s="279"/>
    </row>
    <row r="34" spans="1:15" ht="17.25" customHeight="1" thickBot="1">
      <c r="A34" s="277"/>
      <c r="B34" s="278"/>
      <c r="C34" s="278"/>
      <c r="D34" s="278"/>
      <c r="E34" s="278"/>
      <c r="F34" s="488"/>
      <c r="G34" s="489"/>
      <c r="H34" s="489"/>
      <c r="I34" s="490"/>
      <c r="J34" s="278"/>
      <c r="K34" s="278"/>
      <c r="L34" s="278"/>
      <c r="M34" s="278"/>
      <c r="N34" s="278"/>
      <c r="O34" s="279"/>
    </row>
    <row r="35" spans="1:15" ht="3" customHeight="1" thickTop="1">
      <c r="A35" s="277"/>
      <c r="B35" s="278"/>
      <c r="C35" s="278"/>
      <c r="D35" s="278"/>
      <c r="E35" s="278"/>
      <c r="F35" s="440"/>
      <c r="G35" s="65"/>
      <c r="H35" s="65"/>
      <c r="I35" s="441"/>
      <c r="J35" s="278"/>
      <c r="K35" s="278"/>
      <c r="L35" s="278"/>
      <c r="M35" s="278"/>
      <c r="N35" s="278"/>
      <c r="O35" s="279"/>
    </row>
    <row r="36" spans="1:15" ht="15.75">
      <c r="A36" s="277"/>
      <c r="B36" s="278"/>
      <c r="C36" s="278"/>
      <c r="D36" s="278"/>
      <c r="E36" s="278"/>
      <c r="F36" s="439" t="s">
        <v>143</v>
      </c>
      <c r="G36" s="83"/>
      <c r="H36" s="83"/>
      <c r="I36" s="444">
        <v>56</v>
      </c>
      <c r="J36" s="278"/>
      <c r="K36" s="278"/>
      <c r="L36" s="278"/>
      <c r="M36" s="278"/>
      <c r="N36" s="278"/>
      <c r="O36" s="279"/>
    </row>
    <row r="37" spans="1:15" ht="15.75">
      <c r="A37" s="277"/>
      <c r="B37" s="278"/>
      <c r="C37" s="278"/>
      <c r="D37" s="278"/>
      <c r="E37" s="278"/>
      <c r="F37" s="302" t="s">
        <v>142</v>
      </c>
      <c r="G37" s="303"/>
      <c r="H37" s="303"/>
      <c r="I37" s="444">
        <v>5.5</v>
      </c>
      <c r="J37" s="278"/>
      <c r="K37" s="278"/>
      <c r="L37" s="278"/>
      <c r="M37" s="278"/>
      <c r="N37" s="278"/>
      <c r="O37" s="279"/>
    </row>
    <row r="38" spans="1:15" ht="15.75">
      <c r="A38" s="277"/>
      <c r="B38" s="278"/>
      <c r="C38" s="278"/>
      <c r="D38" s="278"/>
      <c r="E38" s="278"/>
      <c r="F38" s="304" t="s">
        <v>39</v>
      </c>
      <c r="G38" s="83"/>
      <c r="H38" s="83"/>
      <c r="I38" s="443">
        <f>I36*I37</f>
        <v>308</v>
      </c>
      <c r="J38" s="278"/>
      <c r="K38" s="278"/>
      <c r="L38" s="278"/>
      <c r="M38" s="278"/>
      <c r="N38" s="278"/>
      <c r="O38" s="279"/>
    </row>
    <row r="39" spans="1:15" ht="15.75">
      <c r="A39" s="277"/>
      <c r="B39" s="278"/>
      <c r="C39" s="278"/>
      <c r="D39" s="278"/>
      <c r="E39" s="278"/>
      <c r="F39" s="304" t="s">
        <v>37</v>
      </c>
      <c r="G39" s="83"/>
      <c r="H39" s="83"/>
      <c r="I39" s="305">
        <f>ROUND(((-0.0000722*$I$36^3+0.0082834*$I$36^2-0.127783*$I$36+0.6171046)*($I$36*$I$37))-((-0.0000978*$I$36^2+0.0239515*$I$36)*($I$36*$I$37)),-1)</f>
        <v>1760</v>
      </c>
      <c r="J39" s="278"/>
      <c r="K39" s="278"/>
      <c r="L39" s="278"/>
      <c r="M39" s="278"/>
      <c r="N39" s="278"/>
      <c r="O39" s="279"/>
    </row>
    <row r="40" spans="1:15" ht="18.75" thickBot="1">
      <c r="A40" s="277"/>
      <c r="B40" s="278"/>
      <c r="C40" s="278"/>
      <c r="D40" s="278"/>
      <c r="E40" s="278"/>
      <c r="F40" s="306" t="s">
        <v>36</v>
      </c>
      <c r="G40" s="307"/>
      <c r="H40" s="307"/>
      <c r="I40" s="442">
        <f>ROUND(((-0.0000722*$I$36^3+0.0082834*$I$36^2-0.127783*$I$36+0.6171046)*($I$36*$I$37))+((-0.0000978*$I$36^2+0.0239515*$I$36)*($I$36*$I$37)),-1)</f>
        <v>2400</v>
      </c>
      <c r="J40" s="278"/>
      <c r="K40" s="278"/>
      <c r="L40" s="278"/>
      <c r="M40" s="278"/>
      <c r="N40" s="278"/>
      <c r="O40" s="279"/>
    </row>
    <row r="41" spans="1:15" ht="15.75">
      <c r="A41" s="277"/>
      <c r="B41" s="278"/>
      <c r="C41" s="278"/>
      <c r="D41" s="278"/>
      <c r="E41" s="278"/>
      <c r="F41" s="308"/>
      <c r="G41" s="83"/>
      <c r="H41" s="83"/>
      <c r="I41" s="309"/>
      <c r="J41" s="278"/>
      <c r="K41" s="278"/>
      <c r="L41" s="278"/>
      <c r="M41" s="278"/>
      <c r="N41" s="278"/>
      <c r="O41" s="279"/>
    </row>
    <row r="42" spans="1:15" ht="15.75">
      <c r="A42" s="277"/>
      <c r="B42" s="278"/>
      <c r="C42" s="278"/>
      <c r="D42" s="278"/>
      <c r="E42" s="278"/>
      <c r="F42" s="308"/>
      <c r="G42" s="83"/>
      <c r="H42" s="83"/>
      <c r="I42" s="309"/>
      <c r="J42" s="278"/>
      <c r="K42" s="278"/>
      <c r="L42" s="278"/>
      <c r="M42" s="278"/>
      <c r="N42" s="278"/>
      <c r="O42" s="279"/>
    </row>
    <row r="43" spans="1:15" ht="15.75">
      <c r="A43" s="277"/>
      <c r="B43" s="278"/>
      <c r="C43" s="278"/>
      <c r="D43" s="278"/>
      <c r="E43" s="278"/>
      <c r="F43" s="308"/>
      <c r="G43" s="83"/>
      <c r="H43" s="83"/>
      <c r="I43" s="309"/>
      <c r="J43" s="278"/>
      <c r="K43" s="278"/>
      <c r="L43" s="278"/>
      <c r="M43" s="278"/>
      <c r="N43" s="278"/>
      <c r="O43" s="279"/>
    </row>
    <row r="44" spans="1:15" ht="15.75">
      <c r="A44" s="277"/>
      <c r="B44" s="278"/>
      <c r="C44" s="278"/>
      <c r="D44" s="278"/>
      <c r="E44" s="278"/>
      <c r="F44" s="308"/>
      <c r="G44" s="83"/>
      <c r="H44" s="83"/>
      <c r="I44" s="309"/>
      <c r="J44" s="278"/>
      <c r="K44" s="278"/>
      <c r="L44" s="278"/>
      <c r="M44" s="278"/>
      <c r="N44" s="278"/>
      <c r="O44" s="279"/>
    </row>
    <row r="45" spans="1:15" ht="15.75">
      <c r="A45" s="277"/>
      <c r="B45" s="278"/>
      <c r="C45" s="278"/>
      <c r="D45" s="278"/>
      <c r="E45" s="278"/>
      <c r="F45" s="308"/>
      <c r="G45" s="83"/>
      <c r="H45" s="83"/>
      <c r="I45" s="309"/>
      <c r="J45" s="278"/>
      <c r="K45" s="278"/>
      <c r="L45" s="278"/>
      <c r="M45" s="278"/>
      <c r="N45" s="278"/>
      <c r="O45" s="279"/>
    </row>
    <row r="46" spans="1:15" ht="15.75">
      <c r="A46" s="277"/>
      <c r="B46" s="278"/>
      <c r="C46" s="278"/>
      <c r="D46" s="278"/>
      <c r="E46" s="278"/>
      <c r="F46" s="308"/>
      <c r="G46" s="83"/>
      <c r="H46" s="83"/>
      <c r="I46" s="309"/>
      <c r="J46" s="278"/>
      <c r="K46" s="278"/>
      <c r="L46" s="278"/>
      <c r="M46" s="278"/>
      <c r="N46" s="278"/>
      <c r="O46" s="279"/>
    </row>
    <row r="47" spans="1:15" ht="11.25" customHeight="1">
      <c r="A47" s="277"/>
      <c r="B47" s="278"/>
      <c r="C47" s="278"/>
      <c r="D47" s="278"/>
      <c r="E47" s="278"/>
      <c r="F47" s="308"/>
      <c r="G47" s="83"/>
      <c r="H47" s="83"/>
      <c r="I47" s="309"/>
      <c r="J47" s="278"/>
      <c r="K47" s="278"/>
      <c r="L47" s="278"/>
      <c r="M47" s="278"/>
      <c r="N47" s="278"/>
      <c r="O47" s="279"/>
    </row>
    <row r="48" spans="1:15" ht="22.5" customHeight="1">
      <c r="A48" s="277"/>
      <c r="B48" s="287" t="s">
        <v>161</v>
      </c>
      <c r="C48" s="278"/>
      <c r="D48" s="278"/>
      <c r="E48" s="278"/>
      <c r="F48" s="308"/>
      <c r="G48" s="83"/>
      <c r="H48" s="83"/>
      <c r="I48" s="309"/>
      <c r="J48" s="278"/>
      <c r="K48" s="278"/>
      <c r="L48" s="278"/>
      <c r="M48" s="278"/>
      <c r="N48" s="278"/>
      <c r="O48" s="279"/>
    </row>
    <row r="49" spans="1:15" ht="23.25" customHeight="1">
      <c r="A49" s="277"/>
      <c r="B49" s="283" t="s">
        <v>164</v>
      </c>
      <c r="C49" s="278"/>
      <c r="D49" s="278"/>
      <c r="E49" s="278"/>
      <c r="F49" s="308"/>
      <c r="G49" s="83"/>
      <c r="H49" s="83"/>
      <c r="I49" s="309"/>
      <c r="J49" s="278"/>
      <c r="K49" s="278"/>
      <c r="L49" s="278"/>
      <c r="M49" s="278"/>
      <c r="N49" s="278"/>
      <c r="O49" s="279"/>
    </row>
    <row r="50" spans="1:15" ht="16.5" customHeight="1">
      <c r="A50" s="277"/>
      <c r="B50" s="283" t="s">
        <v>163</v>
      </c>
      <c r="C50" s="278"/>
      <c r="D50" s="278"/>
      <c r="E50" s="278"/>
      <c r="F50" s="308"/>
      <c r="G50" s="83"/>
      <c r="H50" s="83"/>
      <c r="I50" s="309"/>
      <c r="J50" s="278"/>
      <c r="K50" s="278"/>
      <c r="L50" s="278"/>
      <c r="M50" s="278"/>
      <c r="N50" s="278"/>
      <c r="O50" s="279"/>
    </row>
    <row r="51" spans="1:15" ht="17.25" customHeight="1">
      <c r="A51" s="277"/>
      <c r="B51" s="283" t="s">
        <v>168</v>
      </c>
      <c r="C51" s="278"/>
      <c r="D51" s="278"/>
      <c r="E51" s="278"/>
      <c r="F51" s="308"/>
      <c r="G51" s="310" t="s">
        <v>162</v>
      </c>
      <c r="H51" s="83"/>
      <c r="I51" s="309"/>
      <c r="J51" s="278"/>
      <c r="K51" s="283" t="s">
        <v>165</v>
      </c>
      <c r="L51" s="278"/>
      <c r="M51" s="278"/>
      <c r="N51" s="278"/>
      <c r="O51" s="279"/>
    </row>
    <row r="52" spans="1:15" ht="17.25" customHeight="1">
      <c r="A52" s="277"/>
      <c r="B52" s="283" t="s">
        <v>208</v>
      </c>
      <c r="C52" s="278"/>
      <c r="D52" s="278"/>
      <c r="E52" s="278"/>
      <c r="F52" s="308"/>
      <c r="G52" s="310"/>
      <c r="H52" s="83"/>
      <c r="I52" s="309"/>
      <c r="J52" s="278"/>
      <c r="K52" s="283"/>
      <c r="L52" s="278"/>
      <c r="M52" s="278"/>
      <c r="N52" s="278"/>
      <c r="O52" s="279"/>
    </row>
    <row r="53" spans="1:15" ht="25.5" customHeight="1">
      <c r="A53" s="277"/>
      <c r="B53" s="283" t="s">
        <v>209</v>
      </c>
      <c r="C53" s="278"/>
      <c r="D53" s="278"/>
      <c r="E53" s="278"/>
      <c r="F53" s="308"/>
      <c r="G53" s="310"/>
      <c r="H53" s="83"/>
      <c r="I53" s="311" t="s">
        <v>210</v>
      </c>
      <c r="K53" s="283"/>
      <c r="L53" s="278"/>
      <c r="M53" s="278"/>
      <c r="N53" s="278"/>
      <c r="O53" s="279"/>
    </row>
    <row r="54" spans="1:15" ht="15.75">
      <c r="A54" s="277"/>
      <c r="B54" s="283"/>
      <c r="C54" s="278"/>
      <c r="D54" s="278"/>
      <c r="E54" s="278"/>
      <c r="F54" s="308"/>
      <c r="G54" s="83"/>
      <c r="H54" s="83"/>
      <c r="I54" s="309"/>
      <c r="J54" s="278"/>
      <c r="K54" s="278"/>
      <c r="L54" s="278"/>
      <c r="M54" s="278"/>
      <c r="N54" s="278"/>
      <c r="O54" s="279"/>
    </row>
    <row r="55" spans="1:15" ht="15.75">
      <c r="A55" s="277"/>
      <c r="B55" s="278"/>
      <c r="C55" s="278"/>
      <c r="D55" s="278"/>
      <c r="E55" s="278"/>
      <c r="F55" s="308"/>
      <c r="G55" s="83"/>
      <c r="H55" s="83"/>
      <c r="I55" s="309"/>
      <c r="J55" s="278"/>
      <c r="K55" s="278"/>
      <c r="L55" s="278"/>
      <c r="M55" s="278"/>
      <c r="N55" s="278"/>
      <c r="O55" s="279"/>
    </row>
    <row r="56" spans="1:15" ht="15.75">
      <c r="A56" s="277"/>
      <c r="B56" s="278"/>
      <c r="C56" s="278"/>
      <c r="D56" s="278"/>
      <c r="E56" s="278"/>
      <c r="F56" s="308"/>
      <c r="G56" s="83"/>
      <c r="H56" s="83"/>
      <c r="I56" s="309"/>
      <c r="J56" s="278"/>
      <c r="K56" s="278"/>
      <c r="L56" s="278"/>
      <c r="M56" s="278"/>
      <c r="N56" s="278"/>
      <c r="O56" s="279"/>
    </row>
    <row r="57" spans="1:15">
      <c r="A57" s="277"/>
      <c r="B57" s="278"/>
      <c r="C57" s="278"/>
      <c r="D57" s="278"/>
      <c r="E57" s="278"/>
      <c r="F57" s="278"/>
      <c r="G57" s="278"/>
      <c r="H57" s="278"/>
      <c r="I57" s="278"/>
      <c r="J57" s="278"/>
      <c r="K57" s="278"/>
      <c r="L57" s="278"/>
      <c r="M57" s="278"/>
      <c r="N57" s="278"/>
      <c r="O57" s="279"/>
    </row>
    <row r="58" spans="1:15">
      <c r="A58" s="277"/>
      <c r="B58" s="278"/>
      <c r="C58" s="278"/>
      <c r="D58" s="278"/>
      <c r="E58" s="278"/>
      <c r="F58" s="278"/>
      <c r="G58" s="278"/>
      <c r="H58" s="278"/>
      <c r="I58" s="278"/>
      <c r="J58" s="278"/>
      <c r="K58" s="278"/>
      <c r="L58" s="278"/>
      <c r="M58" s="278"/>
      <c r="N58" s="278"/>
      <c r="O58" s="279"/>
    </row>
    <row r="59" spans="1:15">
      <c r="A59" s="277"/>
      <c r="B59" s="278"/>
      <c r="C59" s="278"/>
      <c r="D59" s="278"/>
      <c r="E59" s="278"/>
      <c r="F59" s="278"/>
      <c r="G59" s="278"/>
      <c r="H59" s="278"/>
      <c r="I59" s="278"/>
      <c r="J59" s="278"/>
      <c r="K59" s="278"/>
      <c r="L59" s="278"/>
      <c r="M59" s="278"/>
      <c r="N59" s="278"/>
      <c r="O59" s="279"/>
    </row>
    <row r="60" spans="1:15">
      <c r="A60" s="280"/>
      <c r="B60" s="297"/>
      <c r="C60" s="297"/>
      <c r="D60" s="297"/>
      <c r="E60" s="297"/>
      <c r="F60" s="297"/>
      <c r="G60" s="297"/>
      <c r="H60" s="297"/>
      <c r="I60" s="297"/>
      <c r="J60" s="297"/>
      <c r="K60" s="297"/>
      <c r="L60" s="297"/>
      <c r="M60" s="297"/>
      <c r="N60" s="297"/>
      <c r="O60" s="298"/>
    </row>
    <row r="61" spans="1:15">
      <c r="A61" s="291"/>
      <c r="B61" s="292"/>
      <c r="C61" s="292"/>
      <c r="D61" s="292"/>
      <c r="E61" s="292"/>
      <c r="F61" s="292"/>
      <c r="G61" s="292"/>
      <c r="H61" s="292"/>
      <c r="I61" s="292"/>
      <c r="J61" s="292"/>
      <c r="K61" s="292"/>
      <c r="L61" s="292"/>
      <c r="M61" s="292"/>
      <c r="N61" s="292"/>
      <c r="O61" s="293"/>
    </row>
    <row r="62" spans="1:15">
      <c r="A62" s="280"/>
      <c r="B62" s="297"/>
      <c r="C62" s="297"/>
      <c r="D62" s="297"/>
      <c r="E62" s="297"/>
      <c r="F62" s="297"/>
      <c r="G62" s="297"/>
      <c r="H62" s="297"/>
      <c r="I62" s="297"/>
      <c r="J62" s="297"/>
      <c r="K62" s="297"/>
      <c r="L62" s="297"/>
      <c r="M62" s="297"/>
      <c r="N62" s="297"/>
      <c r="O62" s="298"/>
    </row>
    <row r="63" spans="1:15" ht="13.5" thickBot="1">
      <c r="A63" s="299"/>
      <c r="B63" s="300"/>
      <c r="C63" s="300"/>
      <c r="D63" s="300"/>
      <c r="E63" s="300"/>
      <c r="F63" s="300"/>
      <c r="G63" s="300"/>
      <c r="H63" s="300"/>
      <c r="I63" s="300"/>
      <c r="J63" s="300"/>
      <c r="K63" s="300"/>
      <c r="L63" s="300"/>
      <c r="M63" s="300"/>
      <c r="N63" s="300"/>
      <c r="O63" s="301"/>
    </row>
  </sheetData>
  <sheetProtection sheet="1" objects="1" scenarios="1" selectLockedCells="1"/>
  <mergeCells count="1">
    <mergeCell ref="F33:I34"/>
  </mergeCells>
  <phoneticPr fontId="21" type="noConversion"/>
  <hyperlinks>
    <hyperlink ref="G51" r:id="rId1"/>
  </hyperlinks>
  <pageMargins left="0.75" right="0.75" top="1" bottom="1" header="0.5" footer="0.5"/>
  <pageSetup paperSize="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7"/>
    <pageSetUpPr fitToPage="1"/>
  </sheetPr>
  <dimension ref="A1:BV198"/>
  <sheetViews>
    <sheetView showGridLines="0" showRowColHeaders="0" zoomScale="75" zoomScaleNormal="50" workbookViewId="0">
      <pane ySplit="1" topLeftCell="A2" activePane="bottomLeft" state="frozen"/>
      <selection pane="bottomLeft" activeCell="B19" sqref="B19:D19"/>
    </sheetView>
  </sheetViews>
  <sheetFormatPr defaultColWidth="0" defaultRowHeight="15"/>
  <cols>
    <col min="1" max="1" width="2.7109375" style="59" customWidth="1"/>
    <col min="2" max="2" width="37" style="59" customWidth="1"/>
    <col min="3" max="3" width="24.85546875" style="59" customWidth="1"/>
    <col min="4" max="4" width="15.140625" style="59" customWidth="1"/>
    <col min="5" max="5" width="20.5703125" style="59" customWidth="1"/>
    <col min="6" max="6" width="23.140625" style="59" customWidth="1"/>
    <col min="7" max="7" width="21.85546875" style="59" customWidth="1"/>
    <col min="8" max="8" width="19.5703125" style="59" customWidth="1"/>
    <col min="9" max="9" width="19.28515625" style="59" customWidth="1"/>
    <col min="10" max="10" width="16" style="59" customWidth="1"/>
    <col min="11" max="11" width="13.7109375" style="59" customWidth="1"/>
    <col min="12" max="12" width="18.7109375" style="59" customWidth="1"/>
    <col min="13" max="13" width="41.85546875" style="59" customWidth="1"/>
    <col min="14" max="14" width="7.28515625" style="59" customWidth="1"/>
    <col min="15" max="15" width="8.28515625" style="59" customWidth="1"/>
    <col min="16" max="16" width="6.85546875" style="59" customWidth="1"/>
    <col min="17" max="17" width="2.42578125" style="59" customWidth="1"/>
    <col min="18" max="20" width="61.5703125" style="59" bestFit="1" customWidth="1"/>
    <col min="21" max="21" width="51.5703125" style="59" bestFit="1" customWidth="1"/>
    <col min="22" max="24" width="35.85546875" style="59" bestFit="1" customWidth="1"/>
    <col min="25" max="26" width="35.85546875" style="59" customWidth="1"/>
    <col min="27" max="28" width="49.140625" style="59" customWidth="1"/>
    <col min="29" max="29" width="38.7109375" style="79" bestFit="1" customWidth="1"/>
    <col min="30" max="30" width="31.5703125" style="79" bestFit="1" customWidth="1"/>
    <col min="31" max="31" width="37.28515625" style="79" bestFit="1" customWidth="1"/>
    <col min="32" max="32" width="57.28515625" style="79" bestFit="1" customWidth="1"/>
    <col min="33" max="33" width="37.28515625" style="79" bestFit="1" customWidth="1"/>
    <col min="34" max="34" width="9.140625" style="101" customWidth="1"/>
    <col min="35" max="35" width="40.7109375" style="59" hidden="1" customWidth="1"/>
    <col min="36" max="36" width="10.42578125" style="59" hidden="1" customWidth="1"/>
    <col min="37" max="37" width="21.28515625" style="59" hidden="1" customWidth="1"/>
    <col min="38" max="45" width="40.7109375" style="59" hidden="1" customWidth="1"/>
    <col min="46" max="74" width="0" style="59" hidden="1" customWidth="1"/>
    <col min="75" max="16384" width="40.7109375" style="59" hidden="1"/>
  </cols>
  <sheetData>
    <row r="1" spans="1:34" ht="48">
      <c r="A1" s="294"/>
      <c r="B1" s="294"/>
      <c r="C1" s="294"/>
      <c r="D1" s="296" t="s">
        <v>183</v>
      </c>
      <c r="E1" s="294"/>
      <c r="F1" s="294"/>
      <c r="G1" s="294"/>
      <c r="H1" s="294"/>
      <c r="I1" s="294"/>
      <c r="J1" s="294"/>
      <c r="K1" s="294"/>
      <c r="L1" s="294"/>
      <c r="M1" s="294"/>
      <c r="N1" s="294"/>
      <c r="O1" s="294"/>
      <c r="P1" s="294"/>
      <c r="Q1" s="294"/>
      <c r="R1" s="294"/>
      <c r="S1" s="294"/>
      <c r="T1" s="294"/>
      <c r="U1" s="294"/>
      <c r="V1" s="294"/>
      <c r="W1" s="294"/>
      <c r="X1" s="294"/>
      <c r="Y1" s="294"/>
      <c r="Z1" s="294"/>
      <c r="AA1" s="294"/>
      <c r="AB1" s="295"/>
      <c r="AC1" s="295"/>
      <c r="AD1" s="295"/>
      <c r="AE1" s="295"/>
      <c r="AF1" s="295"/>
      <c r="AG1" s="295"/>
      <c r="AH1" s="276"/>
    </row>
    <row r="2" spans="1:34" ht="15.75" customHeight="1">
      <c r="E2" s="102"/>
      <c r="R2" s="103"/>
      <c r="AB2" s="79"/>
      <c r="AE2" s="80"/>
    </row>
    <row r="3" spans="1:34" ht="21.75" customHeight="1">
      <c r="D3" s="514" t="s">
        <v>169</v>
      </c>
      <c r="E3" s="514"/>
      <c r="F3" s="514"/>
      <c r="G3" s="514"/>
      <c r="H3" s="514"/>
      <c r="I3" s="514"/>
      <c r="R3" s="103"/>
      <c r="AB3" s="79"/>
      <c r="AE3" s="80"/>
    </row>
    <row r="4" spans="1:34" ht="24" customHeight="1">
      <c r="C4" s="447" t="s">
        <v>172</v>
      </c>
      <c r="D4" s="446" t="s">
        <v>171</v>
      </c>
      <c r="E4" s="521" t="s">
        <v>170</v>
      </c>
      <c r="F4" s="521"/>
      <c r="G4" s="521"/>
      <c r="H4" s="521"/>
      <c r="I4" s="521"/>
      <c r="J4" s="521"/>
      <c r="K4" s="97"/>
      <c r="R4" s="103"/>
      <c r="AB4" s="79"/>
      <c r="AE4" s="80"/>
    </row>
    <row r="5" spans="1:34" ht="28.5" customHeight="1" thickBot="1">
      <c r="B5" s="550" t="s">
        <v>184</v>
      </c>
      <c r="C5" s="550"/>
      <c r="D5" s="550"/>
      <c r="AB5" s="79"/>
    </row>
    <row r="6" spans="1:34" ht="15" customHeight="1">
      <c r="B6" s="379" t="s">
        <v>25</v>
      </c>
      <c r="C6" s="324">
        <v>150</v>
      </c>
      <c r="D6" s="379" t="s">
        <v>47</v>
      </c>
      <c r="E6" s="376"/>
      <c r="F6" s="60"/>
      <c r="G6" s="81"/>
      <c r="H6" s="329">
        <v>0.16</v>
      </c>
      <c r="AB6" s="79"/>
    </row>
    <row r="7" spans="1:34" ht="15.75">
      <c r="B7" s="380" t="s">
        <v>26</v>
      </c>
      <c r="C7" s="325">
        <v>15</v>
      </c>
      <c r="D7" s="380" t="s">
        <v>118</v>
      </c>
      <c r="E7" s="63"/>
      <c r="F7" s="83"/>
      <c r="G7" s="90"/>
      <c r="H7" s="330">
        <v>12</v>
      </c>
      <c r="AB7" s="79"/>
    </row>
    <row r="8" spans="1:34" ht="16.5" thickBot="1">
      <c r="B8" s="380" t="s">
        <v>27</v>
      </c>
      <c r="C8" s="326">
        <v>2.6</v>
      </c>
      <c r="D8" s="380" t="s">
        <v>22</v>
      </c>
      <c r="E8" s="377"/>
      <c r="F8" s="62"/>
      <c r="G8" s="91"/>
      <c r="H8" s="331">
        <v>2410</v>
      </c>
      <c r="O8" s="62"/>
      <c r="P8" s="62"/>
      <c r="AB8" s="79"/>
    </row>
    <row r="9" spans="1:34" ht="15.75">
      <c r="B9" s="380" t="s">
        <v>28</v>
      </c>
      <c r="C9" s="327">
        <v>3</v>
      </c>
      <c r="D9" s="382" t="s">
        <v>24</v>
      </c>
      <c r="E9" s="376"/>
      <c r="F9" s="60"/>
      <c r="G9" s="81"/>
      <c r="H9" s="475">
        <v>3</v>
      </c>
      <c r="O9" s="552"/>
      <c r="P9" s="553"/>
      <c r="AB9" s="79"/>
      <c r="AC9" s="1"/>
      <c r="AD9" s="1"/>
      <c r="AE9" s="1"/>
    </row>
    <row r="10" spans="1:34" ht="16.5" customHeight="1" thickBot="1">
      <c r="B10" s="381" t="s">
        <v>29</v>
      </c>
      <c r="C10" s="328" t="s">
        <v>23</v>
      </c>
      <c r="D10" s="381" t="s">
        <v>126</v>
      </c>
      <c r="E10" s="378"/>
      <c r="F10" s="86"/>
      <c r="G10" s="82"/>
      <c r="H10" s="87">
        <f>+IF(C10="o",18.69,16.99)*C6*3.28083*C7*3.28083</f>
        <v>452646.61242196721</v>
      </c>
      <c r="O10" s="554"/>
      <c r="P10" s="554"/>
      <c r="AB10" s="79"/>
    </row>
    <row r="11" spans="1:34">
      <c r="H11" s="88"/>
      <c r="I11" s="89"/>
      <c r="O11" s="555"/>
      <c r="P11" s="556"/>
      <c r="AB11" s="79"/>
    </row>
    <row r="12" spans="1:34">
      <c r="E12" s="83"/>
      <c r="F12" s="63"/>
      <c r="G12" s="64"/>
      <c r="H12" s="63"/>
      <c r="I12" s="61"/>
      <c r="AB12" s="79"/>
    </row>
    <row r="13" spans="1:34" ht="30.75" customHeight="1">
      <c r="B13" s="520" t="s">
        <v>194</v>
      </c>
      <c r="C13" s="520"/>
      <c r="D13" s="520"/>
      <c r="E13" s="520"/>
      <c r="F13" s="63"/>
      <c r="G13" s="64"/>
      <c r="H13" s="63"/>
      <c r="I13" s="61"/>
      <c r="J13" s="61"/>
      <c r="K13" s="83"/>
      <c r="AB13" s="79"/>
    </row>
    <row r="14" spans="1:34" s="3" customFormat="1" ht="14.25" customHeight="1" thickBot="1">
      <c r="B14" s="560"/>
      <c r="C14" s="560"/>
      <c r="D14" s="560"/>
      <c r="E14" s="66"/>
      <c r="F14" s="66"/>
      <c r="G14" s="66"/>
      <c r="H14" s="66"/>
      <c r="I14" s="66"/>
      <c r="K14" s="2"/>
      <c r="M14" s="4"/>
      <c r="AB14" s="1"/>
      <c r="AC14" s="1"/>
      <c r="AD14" s="1"/>
      <c r="AE14" s="1"/>
      <c r="AF14" s="1"/>
      <c r="AG14" s="1"/>
    </row>
    <row r="15" spans="1:34" s="3" customFormat="1" ht="18.75" customHeight="1">
      <c r="B15" s="561" t="s">
        <v>149</v>
      </c>
      <c r="C15" s="562"/>
      <c r="D15" s="562"/>
      <c r="E15" s="361" t="s">
        <v>10</v>
      </c>
      <c r="F15" s="361" t="s">
        <v>111</v>
      </c>
      <c r="G15" s="361" t="s">
        <v>112</v>
      </c>
      <c r="H15" s="361" t="s">
        <v>116</v>
      </c>
      <c r="I15" s="361" t="s">
        <v>114</v>
      </c>
      <c r="J15" s="522" t="s">
        <v>107</v>
      </c>
      <c r="K15" s="523"/>
      <c r="M15" s="4"/>
      <c r="AB15" s="1"/>
      <c r="AC15" s="1"/>
      <c r="AD15" s="1"/>
      <c r="AE15" s="1"/>
      <c r="AF15" s="1"/>
      <c r="AG15" s="1"/>
    </row>
    <row r="16" spans="1:34" s="3" customFormat="1" ht="16.5" customHeight="1">
      <c r="B16" s="563"/>
      <c r="C16" s="564"/>
      <c r="D16" s="564"/>
      <c r="E16" s="73" t="s">
        <v>147</v>
      </c>
      <c r="F16" s="73" t="s">
        <v>148</v>
      </c>
      <c r="G16" s="73" t="s">
        <v>113</v>
      </c>
      <c r="H16" s="73" t="s">
        <v>117</v>
      </c>
      <c r="I16" s="73" t="s">
        <v>115</v>
      </c>
      <c r="J16" s="339" t="s">
        <v>43</v>
      </c>
      <c r="K16" s="362" t="s">
        <v>44</v>
      </c>
      <c r="M16" s="4"/>
      <c r="AB16" s="1"/>
      <c r="AC16" s="1"/>
      <c r="AD16" s="1"/>
      <c r="AE16" s="1"/>
      <c r="AF16" s="1"/>
      <c r="AG16" s="1"/>
    </row>
    <row r="17" spans="2:33" s="3" customFormat="1" ht="17.25" customHeight="1" thickBot="1">
      <c r="B17" s="391"/>
      <c r="C17" s="374"/>
      <c r="D17" s="374"/>
      <c r="E17" s="340"/>
      <c r="F17" s="341" t="s">
        <v>146</v>
      </c>
      <c r="G17" s="341" t="s">
        <v>95</v>
      </c>
      <c r="H17" s="340"/>
      <c r="I17" s="340"/>
      <c r="J17" s="342"/>
      <c r="K17" s="363"/>
      <c r="M17" s="4"/>
      <c r="AB17" s="1"/>
      <c r="AC17" s="1"/>
      <c r="AD17" s="1"/>
      <c r="AE17" s="1"/>
      <c r="AF17" s="1"/>
      <c r="AG17" s="1"/>
    </row>
    <row r="18" spans="2:33" s="3" customFormat="1" ht="1.5" customHeight="1" thickTop="1">
      <c r="B18" s="391"/>
      <c r="C18" s="374"/>
      <c r="D18" s="374"/>
      <c r="E18" s="73"/>
      <c r="F18" s="394"/>
      <c r="G18" s="394"/>
      <c r="H18" s="73"/>
      <c r="I18" s="73"/>
      <c r="J18" s="395"/>
      <c r="K18" s="396"/>
      <c r="M18" s="4"/>
      <c r="AB18" s="1"/>
      <c r="AC18" s="1"/>
      <c r="AD18" s="1"/>
      <c r="AE18" s="1"/>
      <c r="AF18" s="1"/>
      <c r="AG18" s="1"/>
    </row>
    <row r="19" spans="2:33" s="3" customFormat="1" ht="15.75">
      <c r="B19" s="524"/>
      <c r="C19" s="525"/>
      <c r="D19" s="525"/>
      <c r="E19" s="398"/>
      <c r="F19" s="98" t="str">
        <f t="shared" ref="F19:F24" si="0">IF(E19="","",VLOOKUP($B19,$B$114:$Y$147,9,FALSE))</f>
        <v/>
      </c>
      <c r="G19" s="99" t="str">
        <f t="shared" ref="G19:G24" si="1">IF(E19="","",VLOOKUP($B19,$B$114:$Y$147,11,FALSE))</f>
        <v/>
      </c>
      <c r="H19" s="100" t="str">
        <f t="shared" ref="H19:H24" si="2">IF(E19="","",VLOOKUP($B19,$B$114:$Y$147,20,FALSE))</f>
        <v/>
      </c>
      <c r="I19" s="100" t="str">
        <f t="shared" ref="I19:I24" si="3">IF(E19="","",VLOOKUP($B19,$B$114:$Y$147,10,FALSE))</f>
        <v/>
      </c>
      <c r="J19" s="100" t="str">
        <f t="shared" ref="J19:J24" si="4">IF(E19="","",VLOOKUP($B19,$B$114:$Y$147,23,FALSE))</f>
        <v/>
      </c>
      <c r="K19" s="364" t="str">
        <f t="shared" ref="K19:K24" si="5">IF(E19="","",VLOOKUP($B19,$B$114:$Y$147,24,FALSE))</f>
        <v/>
      </c>
      <c r="M19" s="4"/>
      <c r="AB19" s="1"/>
      <c r="AC19" s="1"/>
      <c r="AD19" s="1"/>
      <c r="AE19" s="1"/>
      <c r="AF19" s="1"/>
      <c r="AG19" s="1"/>
    </row>
    <row r="20" spans="2:33" s="3" customFormat="1" ht="15.75">
      <c r="B20" s="515"/>
      <c r="C20" s="516"/>
      <c r="D20" s="517"/>
      <c r="E20" s="397"/>
      <c r="F20" s="98" t="str">
        <f t="shared" si="0"/>
        <v/>
      </c>
      <c r="G20" s="99" t="str">
        <f t="shared" si="1"/>
        <v/>
      </c>
      <c r="H20" s="100" t="str">
        <f t="shared" si="2"/>
        <v/>
      </c>
      <c r="I20" s="100" t="str">
        <f t="shared" si="3"/>
        <v/>
      </c>
      <c r="J20" s="100" t="str">
        <f t="shared" si="4"/>
        <v/>
      </c>
      <c r="K20" s="364" t="str">
        <f t="shared" si="5"/>
        <v/>
      </c>
      <c r="AB20" s="1"/>
      <c r="AC20" s="1"/>
      <c r="AD20" s="1"/>
      <c r="AE20" s="1"/>
      <c r="AF20" s="1"/>
      <c r="AG20" s="1"/>
    </row>
    <row r="21" spans="2:33" s="3" customFormat="1" ht="15.75">
      <c r="B21" s="524" t="s">
        <v>109</v>
      </c>
      <c r="C21" s="525"/>
      <c r="D21" s="535"/>
      <c r="E21" s="373"/>
      <c r="F21" s="98" t="str">
        <f t="shared" si="0"/>
        <v/>
      </c>
      <c r="G21" s="99" t="str">
        <f t="shared" si="1"/>
        <v/>
      </c>
      <c r="H21" s="100" t="str">
        <f t="shared" si="2"/>
        <v/>
      </c>
      <c r="I21" s="100" t="str">
        <f t="shared" si="3"/>
        <v/>
      </c>
      <c r="J21" s="100" t="str">
        <f t="shared" si="4"/>
        <v/>
      </c>
      <c r="K21" s="364" t="str">
        <f t="shared" si="5"/>
        <v/>
      </c>
      <c r="AB21" s="1"/>
      <c r="AC21" s="1"/>
      <c r="AD21" s="1"/>
      <c r="AE21" s="1"/>
      <c r="AF21" s="1"/>
      <c r="AG21" s="1"/>
    </row>
    <row r="22" spans="2:33" s="3" customFormat="1" ht="15.75">
      <c r="B22" s="524" t="s">
        <v>109</v>
      </c>
      <c r="C22" s="525"/>
      <c r="D22" s="535"/>
      <c r="E22" s="373"/>
      <c r="F22" s="98" t="str">
        <f t="shared" si="0"/>
        <v/>
      </c>
      <c r="G22" s="99" t="str">
        <f t="shared" si="1"/>
        <v/>
      </c>
      <c r="H22" s="100" t="str">
        <f t="shared" si="2"/>
        <v/>
      </c>
      <c r="I22" s="100" t="str">
        <f t="shared" si="3"/>
        <v/>
      </c>
      <c r="J22" s="100" t="str">
        <f t="shared" si="4"/>
        <v/>
      </c>
      <c r="K22" s="364" t="str">
        <f t="shared" si="5"/>
        <v/>
      </c>
      <c r="AB22" s="1"/>
      <c r="AC22" s="1"/>
      <c r="AD22" s="1"/>
      <c r="AE22" s="1"/>
      <c r="AF22" s="1"/>
      <c r="AG22" s="1"/>
    </row>
    <row r="23" spans="2:33" s="3" customFormat="1" ht="15.75">
      <c r="B23" s="532"/>
      <c r="C23" s="533"/>
      <c r="D23" s="534"/>
      <c r="E23" s="397"/>
      <c r="F23" s="98" t="str">
        <f t="shared" si="0"/>
        <v/>
      </c>
      <c r="G23" s="99" t="str">
        <f t="shared" si="1"/>
        <v/>
      </c>
      <c r="H23" s="100" t="str">
        <f t="shared" si="2"/>
        <v/>
      </c>
      <c r="I23" s="100" t="str">
        <f t="shared" si="3"/>
        <v/>
      </c>
      <c r="J23" s="100" t="str">
        <f t="shared" si="4"/>
        <v/>
      </c>
      <c r="K23" s="364" t="str">
        <f t="shared" si="5"/>
        <v/>
      </c>
      <c r="AB23" s="1"/>
      <c r="AC23" s="1"/>
      <c r="AD23" s="1"/>
      <c r="AE23" s="1"/>
      <c r="AF23" s="1"/>
      <c r="AG23" s="1"/>
    </row>
    <row r="24" spans="2:33" s="3" customFormat="1" ht="3" customHeight="1" thickBot="1">
      <c r="B24" s="518" t="s">
        <v>109</v>
      </c>
      <c r="C24" s="519"/>
      <c r="D24" s="519"/>
      <c r="E24" s="399"/>
      <c r="F24" s="402" t="str">
        <f t="shared" si="0"/>
        <v/>
      </c>
      <c r="G24" s="344" t="str">
        <f t="shared" si="1"/>
        <v/>
      </c>
      <c r="H24" s="345" t="str">
        <f t="shared" si="2"/>
        <v/>
      </c>
      <c r="I24" s="345" t="str">
        <f t="shared" si="3"/>
        <v/>
      </c>
      <c r="J24" s="345" t="str">
        <f t="shared" si="4"/>
        <v/>
      </c>
      <c r="K24" s="365" t="str">
        <f t="shared" si="5"/>
        <v/>
      </c>
      <c r="AB24" s="1"/>
      <c r="AC24" s="1"/>
      <c r="AD24" s="1"/>
      <c r="AE24" s="1"/>
      <c r="AF24" s="1"/>
      <c r="AG24" s="1"/>
    </row>
    <row r="25" spans="2:33" s="3" customFormat="1" ht="33" customHeight="1" thickTop="1" thickBot="1">
      <c r="B25" s="573" t="s">
        <v>151</v>
      </c>
      <c r="C25" s="574"/>
      <c r="D25" s="574"/>
      <c r="E25" s="403" t="str">
        <f>IF($E$19="","",SUM(E19:E24))</f>
        <v/>
      </c>
      <c r="F25" s="404" t="str">
        <f t="shared" ref="F25:K25" si="6">IF($E$19="","",SUM(F19:F24))</f>
        <v/>
      </c>
      <c r="G25" s="405" t="str">
        <f t="shared" si="6"/>
        <v/>
      </c>
      <c r="H25" s="406" t="str">
        <f t="shared" si="6"/>
        <v/>
      </c>
      <c r="I25" s="406" t="str">
        <f t="shared" si="6"/>
        <v/>
      </c>
      <c r="J25" s="406" t="str">
        <f t="shared" si="6"/>
        <v/>
      </c>
      <c r="K25" s="407" t="str">
        <f t="shared" si="6"/>
        <v/>
      </c>
      <c r="AB25" s="1"/>
      <c r="AC25" s="1"/>
      <c r="AD25" s="1"/>
      <c r="AE25" s="1"/>
      <c r="AF25" s="1"/>
      <c r="AG25" s="1"/>
    </row>
    <row r="26" spans="2:33" s="3" customFormat="1" ht="45" customHeight="1" thickBot="1">
      <c r="B26" s="480"/>
      <c r="C26" s="483" t="str">
        <f>IF(G31="","",G25/G31)</f>
        <v/>
      </c>
      <c r="D26" s="480"/>
      <c r="E26" s="551" t="str">
        <f>IF(C26&gt;0.85,"","Beware the new airspeed is more than 15% different to current total airspeed—considering changing 'Minimum Design Air Velocity' above")</f>
        <v/>
      </c>
      <c r="F26" s="551"/>
      <c r="G26" s="551"/>
      <c r="H26" s="551"/>
      <c r="I26" s="551"/>
      <c r="J26" s="551"/>
      <c r="K26" s="551"/>
      <c r="AB26" s="1"/>
      <c r="AC26" s="1"/>
      <c r="AD26" s="1"/>
      <c r="AE26" s="1"/>
      <c r="AF26" s="1"/>
      <c r="AG26" s="1"/>
    </row>
    <row r="27" spans="2:33" s="3" customFormat="1" ht="15.75" customHeight="1">
      <c r="B27" s="504" t="s">
        <v>158</v>
      </c>
      <c r="C27" s="505"/>
      <c r="D27" s="505"/>
      <c r="E27" s="366" t="s">
        <v>145</v>
      </c>
      <c r="F27" s="361" t="s">
        <v>111</v>
      </c>
      <c r="G27" s="361" t="s">
        <v>112</v>
      </c>
      <c r="H27" s="361" t="s">
        <v>116</v>
      </c>
      <c r="I27" s="361" t="s">
        <v>114</v>
      </c>
      <c r="J27" s="522" t="s">
        <v>107</v>
      </c>
      <c r="K27" s="522"/>
      <c r="L27" s="469" t="s">
        <v>180</v>
      </c>
      <c r="AB27" s="1"/>
      <c r="AC27" s="1"/>
      <c r="AD27" s="1"/>
      <c r="AE27" s="1"/>
      <c r="AF27" s="1"/>
      <c r="AG27" s="1"/>
    </row>
    <row r="28" spans="2:33" s="3" customFormat="1" ht="16.5" customHeight="1">
      <c r="B28" s="506"/>
      <c r="C28" s="507"/>
      <c r="D28" s="507"/>
      <c r="E28" s="346" t="s">
        <v>150</v>
      </c>
      <c r="F28" s="73" t="s">
        <v>148</v>
      </c>
      <c r="G28" s="73" t="s">
        <v>113</v>
      </c>
      <c r="H28" s="73" t="s">
        <v>117</v>
      </c>
      <c r="I28" s="73" t="s">
        <v>115</v>
      </c>
      <c r="J28" s="339" t="s">
        <v>43</v>
      </c>
      <c r="K28" s="339" t="s">
        <v>44</v>
      </c>
      <c r="L28" s="470" t="s">
        <v>181</v>
      </c>
      <c r="AB28" s="1"/>
      <c r="AC28" s="1"/>
      <c r="AD28" s="1"/>
      <c r="AE28" s="1"/>
      <c r="AF28" s="1"/>
      <c r="AG28" s="1"/>
    </row>
    <row r="29" spans="2:33" s="3" customFormat="1" ht="16.5" customHeight="1" thickBot="1">
      <c r="B29" s="375"/>
      <c r="C29" s="73"/>
      <c r="D29" s="73"/>
      <c r="E29" s="354"/>
      <c r="F29" s="340"/>
      <c r="G29" s="340"/>
      <c r="H29" s="340"/>
      <c r="I29" s="340"/>
      <c r="J29" s="355"/>
      <c r="K29" s="355"/>
      <c r="L29" s="476" t="s">
        <v>185</v>
      </c>
      <c r="AB29" s="1"/>
      <c r="AC29" s="1"/>
      <c r="AD29" s="1"/>
      <c r="AE29" s="1"/>
      <c r="AF29" s="1"/>
      <c r="AG29" s="1"/>
    </row>
    <row r="30" spans="2:33" s="3" customFormat="1" ht="2.25" customHeight="1" thickTop="1">
      <c r="B30" s="375"/>
      <c r="C30" s="73"/>
      <c r="D30" s="73"/>
      <c r="E30" s="346"/>
      <c r="F30" s="73"/>
      <c r="G30" s="73"/>
      <c r="H30" s="73"/>
      <c r="I30" s="73"/>
      <c r="J30" s="339"/>
      <c r="K30" s="339"/>
      <c r="L30" s="471"/>
      <c r="AB30" s="1"/>
      <c r="AC30" s="1"/>
      <c r="AD30" s="1"/>
      <c r="AE30" s="1"/>
      <c r="AF30" s="1"/>
      <c r="AG30" s="1"/>
    </row>
    <row r="31" spans="2:33" s="3" customFormat="1" ht="15.75">
      <c r="B31" s="524"/>
      <c r="C31" s="525"/>
      <c r="D31" s="535"/>
      <c r="E31" s="484" t="str">
        <f t="shared" ref="E31:E36" si="7">IF(B31="","",VLOOKUP($B31,$B$158:$Y$191,6,FALSE))</f>
        <v/>
      </c>
      <c r="F31" s="93" t="str">
        <f>IF(B31="","",VLOOKUP($B31,$B$158:$Y$191,9,FALSE))</f>
        <v/>
      </c>
      <c r="G31" s="95" t="str">
        <f>IF(B31="","",VLOOKUP($B31,$B$158:$Y$191,11,FALSE))</f>
        <v/>
      </c>
      <c r="H31" s="92" t="str">
        <f>IF(B31="","",VLOOKUP($B31,$B$158:$Y$191,20,FALSE))</f>
        <v/>
      </c>
      <c r="I31" s="92" t="str">
        <f t="shared" ref="I31:I36" si="8">IF(B31="","",VLOOKUP($B31,$B$158:$Y$191,10,FALSE))</f>
        <v/>
      </c>
      <c r="J31" s="92" t="str">
        <f t="shared" ref="J31:J36" si="9">IF(B31="","",VLOOKUP($B31,$B$158:$Y$191,23,FALSE))</f>
        <v/>
      </c>
      <c r="K31" s="92" t="str">
        <f>IF(B31="","",VLOOKUP($B31,$B$158:$Y$191,24,FALSE))</f>
        <v/>
      </c>
      <c r="L31" s="472" t="str">
        <f>IF(K31="","",$J$25-K31)</f>
        <v/>
      </c>
      <c r="AB31" s="1"/>
      <c r="AC31" s="1"/>
      <c r="AD31" s="1"/>
      <c r="AE31" s="1"/>
      <c r="AF31" s="1"/>
      <c r="AG31" s="1"/>
    </row>
    <row r="32" spans="2:33" s="3" customFormat="1" ht="15.75">
      <c r="B32" s="524"/>
      <c r="C32" s="525"/>
      <c r="D32" s="535"/>
      <c r="E32" s="484" t="str">
        <f t="shared" si="7"/>
        <v/>
      </c>
      <c r="F32" s="93" t="str">
        <f>IF(B32="","",VLOOKUP($B32,$B$158:$Y$191,9,FALSE))</f>
        <v/>
      </c>
      <c r="G32" s="95" t="str">
        <f>IF(B32="","",VLOOKUP($B32,$B$158:$Y$191,11,FALSE))</f>
        <v/>
      </c>
      <c r="H32" s="92" t="str">
        <f>IF(B32="","",VLOOKUP($B32,$B$158:$Y$191,20,FALSE))</f>
        <v/>
      </c>
      <c r="I32" s="92" t="str">
        <f t="shared" si="8"/>
        <v/>
      </c>
      <c r="J32" s="92" t="str">
        <f t="shared" si="9"/>
        <v/>
      </c>
      <c r="K32" s="92" t="str">
        <f>IF(B32="","",VLOOKUP($B32,$B$158:$Y$191,24,FALSE))</f>
        <v/>
      </c>
      <c r="L32" s="472" t="str">
        <f t="shared" ref="L32:L41" si="10">IF(K32="","",$J$25-K32)</f>
        <v/>
      </c>
      <c r="AB32" s="1"/>
      <c r="AC32" s="1"/>
      <c r="AD32" s="1"/>
      <c r="AE32" s="1"/>
      <c r="AF32" s="1"/>
      <c r="AG32" s="1"/>
    </row>
    <row r="33" spans="1:33" s="3" customFormat="1" ht="15.75">
      <c r="B33" s="515"/>
      <c r="C33" s="516"/>
      <c r="D33" s="517"/>
      <c r="E33" s="484" t="str">
        <f t="shared" si="7"/>
        <v/>
      </c>
      <c r="F33" s="93" t="str">
        <f>IF(B33="","",VLOOKUP($B33,$B$158:$Y$191,9,FALSE))</f>
        <v/>
      </c>
      <c r="G33" s="95" t="str">
        <f>IF(B33="","",VLOOKUP($B33,$B$158:$Y$191,11,FALSE))</f>
        <v/>
      </c>
      <c r="H33" s="92" t="str">
        <f>IF(B33="","",VLOOKUP($B33,$B$158:$Y$191,20,FALSE))</f>
        <v/>
      </c>
      <c r="I33" s="92" t="str">
        <f t="shared" si="8"/>
        <v/>
      </c>
      <c r="J33" s="92" t="str">
        <f t="shared" si="9"/>
        <v/>
      </c>
      <c r="K33" s="92" t="str">
        <f>IF(B33="","",VLOOKUP($B33,$B$158:$Y$191,24,FALSE))</f>
        <v/>
      </c>
      <c r="L33" s="472" t="str">
        <f t="shared" si="10"/>
        <v/>
      </c>
      <c r="AB33" s="1"/>
      <c r="AC33" s="1"/>
      <c r="AD33" s="1"/>
      <c r="AE33" s="1"/>
      <c r="AF33" s="1"/>
      <c r="AG33" s="1"/>
    </row>
    <row r="34" spans="1:33" s="3" customFormat="1" ht="15.75">
      <c r="B34" s="524" t="s">
        <v>109</v>
      </c>
      <c r="C34" s="525"/>
      <c r="D34" s="535"/>
      <c r="E34" s="484" t="str">
        <f t="shared" si="7"/>
        <v/>
      </c>
      <c r="F34" s="93" t="str">
        <f>IF(B34="","",VLOOKUP($B34,$B$158:$Y$191,9,FALSE))</f>
        <v/>
      </c>
      <c r="G34" s="95" t="str">
        <f>IF(B34="","",VLOOKUP($B34,$B$158:$Y$191,11,FALSE))</f>
        <v/>
      </c>
      <c r="H34" s="92" t="str">
        <f>IF(B34="","",VLOOKUP($B34,$B$158:$Y$191,20,FALSE))</f>
        <v/>
      </c>
      <c r="I34" s="92" t="str">
        <f t="shared" si="8"/>
        <v/>
      </c>
      <c r="J34" s="92" t="str">
        <f t="shared" si="9"/>
        <v/>
      </c>
      <c r="K34" s="92" t="str">
        <f>IF(B34="","",VLOOKUP($B34,$B$158:$Y$191,24,FALSE))</f>
        <v/>
      </c>
      <c r="L34" s="472" t="str">
        <f t="shared" si="10"/>
        <v/>
      </c>
      <c r="AB34" s="1"/>
      <c r="AC34" s="1"/>
      <c r="AD34" s="1"/>
      <c r="AE34" s="1"/>
      <c r="AF34" s="1"/>
      <c r="AG34" s="1"/>
    </row>
    <row r="35" spans="1:33" s="3" customFormat="1" ht="15.75">
      <c r="B35" s="532" t="s">
        <v>109</v>
      </c>
      <c r="C35" s="533"/>
      <c r="D35" s="534"/>
      <c r="E35" s="484" t="str">
        <f t="shared" si="7"/>
        <v/>
      </c>
      <c r="F35" s="93" t="str">
        <f>IF(B35="","",VLOOKUP($B35,$B$158:$Y$191,9,FALSE))</f>
        <v/>
      </c>
      <c r="G35" s="95" t="str">
        <f>IF(B35="","",VLOOKUP($B35,$B$158:$Y$191,11,FALSE))</f>
        <v/>
      </c>
      <c r="H35" s="92" t="str">
        <f>IF(B35="","",VLOOKUP($B35,$B$158:$Y$191,20,FALSE))</f>
        <v/>
      </c>
      <c r="I35" s="92" t="str">
        <f t="shared" si="8"/>
        <v/>
      </c>
      <c r="J35" s="92" t="str">
        <f t="shared" si="9"/>
        <v/>
      </c>
      <c r="K35" s="92" t="str">
        <f>IF(B35="","",VLOOKUP($B35,$B$158:$Y$191,24,FALSE))</f>
        <v/>
      </c>
      <c r="L35" s="472" t="str">
        <f t="shared" si="10"/>
        <v/>
      </c>
      <c r="AB35" s="1"/>
      <c r="AC35" s="1"/>
      <c r="AD35" s="1"/>
      <c r="AE35" s="1"/>
      <c r="AF35" s="1"/>
      <c r="AG35" s="1"/>
    </row>
    <row r="36" spans="1:33" s="3" customFormat="1" ht="2.25" customHeight="1" thickBot="1">
      <c r="B36" s="518" t="s">
        <v>109</v>
      </c>
      <c r="C36" s="519"/>
      <c r="D36" s="519"/>
      <c r="E36" s="401" t="str">
        <f t="shared" si="7"/>
        <v/>
      </c>
      <c r="F36" s="400" t="str">
        <f>VLOOKUP($B36,$B$158:$Y$191,9,FALSE)</f>
        <v/>
      </c>
      <c r="G36" s="348" t="str">
        <f>VLOOKUP($B36,$B$158:$Y$191,11,FALSE)</f>
        <v/>
      </c>
      <c r="H36" s="349" t="str">
        <f>VLOOKUP($B36,$B$158:$Y$191,20,FALSE)</f>
        <v/>
      </c>
      <c r="I36" s="349" t="str">
        <f t="shared" si="8"/>
        <v/>
      </c>
      <c r="J36" s="349" t="str">
        <f t="shared" si="9"/>
        <v/>
      </c>
      <c r="K36" s="349" t="str">
        <f>VLOOKUP($B36,$B$158:$Y$191,24,FALSE)</f>
        <v/>
      </c>
      <c r="L36" s="472" t="str">
        <f t="shared" si="10"/>
        <v/>
      </c>
      <c r="AB36" s="1"/>
      <c r="AC36" s="1"/>
      <c r="AD36" s="1"/>
      <c r="AE36" s="1"/>
      <c r="AF36" s="1"/>
      <c r="AG36" s="1"/>
    </row>
    <row r="37" spans="1:33" s="3" customFormat="1" ht="16.5" thickTop="1">
      <c r="B37" s="544" t="str">
        <f>IF(B49="","",B49)</f>
        <v/>
      </c>
      <c r="C37" s="545"/>
      <c r="D37" s="546"/>
      <c r="E37" s="347" t="str">
        <f>IF(B49="","",VLOOKUP($B37,$B$109:$Y$142,6,FALSE))</f>
        <v/>
      </c>
      <c r="F37" s="94" t="str">
        <f>IF(B49="","",VLOOKUP($B37,$B$109:$Y$142,9,FALSE))</f>
        <v/>
      </c>
      <c r="G37" s="96" t="str">
        <f>IF(B49="","",VLOOKUP($B37,$B$109:$Y$142,11,FALSE))</f>
        <v/>
      </c>
      <c r="H37" s="85" t="str">
        <f>IF(B49="","",VLOOKUP($B37,$B$109:$Y$142,20,FALSE))</f>
        <v/>
      </c>
      <c r="I37" s="92" t="str">
        <f>IF(B49="","",VLOOKUP($B37,$B$109:$Y$142,10,FALSE))</f>
        <v/>
      </c>
      <c r="J37" s="85" t="str">
        <f>IF(B49="","",VLOOKUP($B37,$B$109:$Y$142,23,FALSE))</f>
        <v/>
      </c>
      <c r="K37" s="92" t="str">
        <f>IF(B49="","",VLOOKUP($B37,$B$109:$Y$142,24,FALSE))</f>
        <v/>
      </c>
      <c r="L37" s="474" t="str">
        <f t="shared" si="10"/>
        <v/>
      </c>
      <c r="AB37" s="1"/>
      <c r="AC37" s="1"/>
      <c r="AD37" s="1"/>
      <c r="AE37" s="1"/>
      <c r="AF37" s="1"/>
      <c r="AG37" s="1"/>
    </row>
    <row r="38" spans="1:33" s="3" customFormat="1" ht="15.75">
      <c r="B38" s="544" t="str">
        <f>IF(B50="","",B50)</f>
        <v/>
      </c>
      <c r="C38" s="545"/>
      <c r="D38" s="546"/>
      <c r="E38" s="347" t="str">
        <f>IF(B50="","",VLOOKUP($B38,$B$109:$Y$142,6,FALSE))</f>
        <v/>
      </c>
      <c r="F38" s="94" t="str">
        <f>IF(B50="","",VLOOKUP($B38,$B$109:$Y$142,9,FALSE))</f>
        <v/>
      </c>
      <c r="G38" s="96" t="str">
        <f>IF(B50="","",VLOOKUP($B38,$B$109:$Y$142,11,FALSE))</f>
        <v/>
      </c>
      <c r="H38" s="85" t="str">
        <f>IF(B50="","",VLOOKUP($B38,$B$109:$Y$142,20,FALSE))</f>
        <v/>
      </c>
      <c r="I38" s="92" t="str">
        <f>IF(B50="","",VLOOKUP($B38,$B$109:$Y$142,10,FALSE))</f>
        <v/>
      </c>
      <c r="J38" s="85" t="str">
        <f>IF(B50="","",VLOOKUP($B38,$B$109:$Y$142,23,FALSE))</f>
        <v/>
      </c>
      <c r="K38" s="92" t="str">
        <f>IF(B50="","",VLOOKUP($B38,$B$109:$Y$142,24,FALSE))</f>
        <v/>
      </c>
      <c r="L38" s="472" t="str">
        <f t="shared" si="10"/>
        <v/>
      </c>
      <c r="AB38" s="1"/>
      <c r="AC38" s="1"/>
      <c r="AD38" s="1"/>
      <c r="AE38" s="1"/>
      <c r="AF38" s="1"/>
      <c r="AG38" s="1"/>
    </row>
    <row r="39" spans="1:33" s="3" customFormat="1" ht="15.75">
      <c r="B39" s="570" t="str">
        <f>IF(B51="","Custom fan data will appear here",B51)</f>
        <v>Custom fan data will appear here</v>
      </c>
      <c r="C39" s="571"/>
      <c r="D39" s="572"/>
      <c r="E39" s="347" t="str">
        <f>IF(B51="","",VLOOKUP($B39,$B$109:$Y$142,6,FALSE))</f>
        <v/>
      </c>
      <c r="F39" s="94" t="str">
        <f>IF(B51="","",VLOOKUP($B39,$B$109:$Y$142,9,FALSE))</f>
        <v/>
      </c>
      <c r="G39" s="96" t="str">
        <f>IF(B51="","",VLOOKUP($B39,$B$109:$Y$142,11,FALSE))</f>
        <v/>
      </c>
      <c r="H39" s="85" t="str">
        <f>IF(B51="","",VLOOKUP($B39,$B$109:$Y$142,20,FALSE))</f>
        <v/>
      </c>
      <c r="I39" s="92" t="str">
        <f>IF(B51="","",VLOOKUP($B39,$B$109:$Y$142,10,FALSE))</f>
        <v/>
      </c>
      <c r="J39" s="85" t="str">
        <f>IF(B51="","",VLOOKUP($B39,$B$109:$Y$142,23,FALSE))</f>
        <v/>
      </c>
      <c r="K39" s="92" t="str">
        <f>IF(B51="","",VLOOKUP($B39,$B$109:$Y$142,24,FALSE))</f>
        <v/>
      </c>
      <c r="L39" s="472" t="str">
        <f t="shared" si="10"/>
        <v/>
      </c>
      <c r="M39" s="4"/>
      <c r="AB39" s="1"/>
      <c r="AC39" s="1"/>
      <c r="AD39" s="1"/>
      <c r="AE39" s="1"/>
      <c r="AF39" s="1"/>
      <c r="AG39" s="1"/>
    </row>
    <row r="40" spans="1:33" s="3" customFormat="1" ht="15.75">
      <c r="B40" s="544" t="str">
        <f>IF(B52="","",B52)</f>
        <v/>
      </c>
      <c r="C40" s="545"/>
      <c r="D40" s="546"/>
      <c r="E40" s="347" t="str">
        <f>IF(B52="","",VLOOKUP($B40,$B$109:$Y$142,6,FALSE))</f>
        <v/>
      </c>
      <c r="F40" s="94" t="str">
        <f>IF(B52="","",VLOOKUP($B40,$B$109:$Y$142,9,FALSE))</f>
        <v/>
      </c>
      <c r="G40" s="96" t="str">
        <f>IF(B52="","",VLOOKUP($B40,$B$109:$Y$142,11,FALSE))</f>
        <v/>
      </c>
      <c r="H40" s="85" t="str">
        <f>IF(B52="","",VLOOKUP($B40,$B$109:$Y$142,20,FALSE))</f>
        <v/>
      </c>
      <c r="I40" s="92" t="str">
        <f>IF(B52="","",VLOOKUP($B40,$B$109:$Y$142,10,FALSE))</f>
        <v/>
      </c>
      <c r="J40" s="85" t="str">
        <f>IF(B52="","",VLOOKUP($B40,$B$109:$Y$142,23,FALSE))</f>
        <v/>
      </c>
      <c r="K40" s="92" t="str">
        <f>IF(B52="","",VLOOKUP($B40,$B$109:$Y$142,24,FALSE))</f>
        <v/>
      </c>
      <c r="L40" s="472" t="str">
        <f t="shared" si="10"/>
        <v/>
      </c>
      <c r="AB40" s="1"/>
      <c r="AC40" s="1"/>
      <c r="AD40" s="1"/>
      <c r="AE40" s="1"/>
      <c r="AF40" s="1"/>
      <c r="AG40" s="1"/>
    </row>
    <row r="41" spans="1:33" s="3" customFormat="1" ht="16.5" thickBot="1">
      <c r="B41" s="547" t="str">
        <f>IF(B53="","",B53)</f>
        <v/>
      </c>
      <c r="C41" s="548"/>
      <c r="D41" s="549"/>
      <c r="E41" s="350" t="str">
        <f>IF(B53="","",VLOOKUP($B41,$B$109:$Y$142,6,FALSE))</f>
        <v/>
      </c>
      <c r="F41" s="351" t="str">
        <f>IF(B53="","",VLOOKUP($B41,$B$109:$Y$142,9,FALSE))</f>
        <v/>
      </c>
      <c r="G41" s="352" t="str">
        <f>IF(B53="","",VLOOKUP($B41,$B$109:$Y$142,11,FALSE))</f>
        <v/>
      </c>
      <c r="H41" s="353" t="str">
        <f>IF(B53="","",VLOOKUP($B41,$B$109:$Y$142,20,FALSE))</f>
        <v/>
      </c>
      <c r="I41" s="343" t="str">
        <f>IF(B53="","",VLOOKUP($B41,$B$109:$Y$142,10,FALSE))</f>
        <v/>
      </c>
      <c r="J41" s="353" t="str">
        <f>IF(B53="","",VLOOKUP($B41,$B$109:$Y$142,23,FALSE))</f>
        <v/>
      </c>
      <c r="K41" s="343" t="str">
        <f>IF(B53="","",VLOOKUP($B41,$B$109:$Y$142,24,FALSE))</f>
        <v/>
      </c>
      <c r="L41" s="473" t="str">
        <f t="shared" si="10"/>
        <v/>
      </c>
      <c r="AB41" s="1"/>
      <c r="AC41" s="1"/>
      <c r="AD41" s="1"/>
      <c r="AE41" s="1"/>
      <c r="AF41" s="1"/>
      <c r="AG41" s="1"/>
    </row>
    <row r="42" spans="1:33" s="3" customFormat="1" ht="24" customHeight="1">
      <c r="K42" s="67"/>
      <c r="AB42" s="1"/>
      <c r="AC42" s="1"/>
      <c r="AD42" s="1"/>
      <c r="AE42" s="1"/>
      <c r="AF42" s="1"/>
      <c r="AG42" s="1"/>
    </row>
    <row r="43" spans="1:33" s="3" customFormat="1" ht="18.75" thickBot="1">
      <c r="B43" s="536" t="s">
        <v>108</v>
      </c>
      <c r="C43" s="536"/>
      <c r="D43" s="536"/>
      <c r="F43" s="65"/>
      <c r="G43" s="65"/>
      <c r="H43" s="65"/>
      <c r="I43" s="67"/>
      <c r="J43" s="67"/>
      <c r="K43" s="67"/>
      <c r="AB43" s="1"/>
      <c r="AC43" s="1"/>
      <c r="AD43" s="1"/>
      <c r="AE43" s="1"/>
      <c r="AF43" s="1"/>
      <c r="AG43" s="1"/>
    </row>
    <row r="44" spans="1:33" s="3" customFormat="1" ht="30.75" customHeight="1">
      <c r="A44" s="4"/>
      <c r="B44" s="542" t="s">
        <v>110</v>
      </c>
      <c r="C44" s="543"/>
      <c r="D44" s="543"/>
      <c r="E44" s="367"/>
      <c r="F44" s="337"/>
      <c r="G44" s="337"/>
      <c r="H44" s="337"/>
      <c r="I44" s="368"/>
      <c r="J44" s="369"/>
      <c r="K44" s="67"/>
      <c r="AB44" s="1"/>
      <c r="AC44" s="1"/>
      <c r="AD44" s="1"/>
      <c r="AE44" s="1"/>
      <c r="AF44" s="1"/>
      <c r="AG44" s="1"/>
    </row>
    <row r="45" spans="1:33" s="3" customFormat="1" ht="15.75">
      <c r="B45" s="540" t="s">
        <v>157</v>
      </c>
      <c r="C45" s="541"/>
      <c r="D45" s="541"/>
      <c r="E45" s="502" t="s">
        <v>79</v>
      </c>
      <c r="F45" s="503"/>
      <c r="G45" s="503"/>
      <c r="H45" s="503"/>
      <c r="I45" s="338" t="s">
        <v>5</v>
      </c>
      <c r="J45" s="370" t="s">
        <v>6</v>
      </c>
      <c r="K45" s="67"/>
      <c r="AB45" s="1"/>
      <c r="AC45" s="1"/>
      <c r="AD45" s="1"/>
      <c r="AE45" s="1"/>
      <c r="AF45" s="1"/>
      <c r="AG45" s="1"/>
    </row>
    <row r="46" spans="1:33" s="3" customFormat="1" ht="15.75">
      <c r="B46" s="512" t="s">
        <v>119</v>
      </c>
      <c r="C46" s="513"/>
      <c r="D46" s="513"/>
      <c r="E46" s="73"/>
      <c r="F46" s="360"/>
      <c r="G46" s="360"/>
      <c r="H46" s="360"/>
      <c r="I46" s="73" t="s">
        <v>99</v>
      </c>
      <c r="J46" s="371"/>
      <c r="K46" s="67"/>
      <c r="AB46" s="1"/>
      <c r="AC46" s="1"/>
      <c r="AD46" s="1"/>
      <c r="AE46" s="1"/>
      <c r="AF46" s="1"/>
      <c r="AG46" s="1"/>
    </row>
    <row r="47" spans="1:33" s="3" customFormat="1" ht="16.5" thickBot="1">
      <c r="B47" s="527" t="s">
        <v>120</v>
      </c>
      <c r="C47" s="528"/>
      <c r="D47" s="528"/>
      <c r="E47" s="340" t="s">
        <v>122</v>
      </c>
      <c r="F47" s="340" t="s">
        <v>123</v>
      </c>
      <c r="G47" s="340" t="s">
        <v>124</v>
      </c>
      <c r="H47" s="340" t="s">
        <v>125</v>
      </c>
      <c r="I47" s="340" t="s">
        <v>121</v>
      </c>
      <c r="J47" s="372" t="s">
        <v>49</v>
      </c>
      <c r="K47" s="67"/>
      <c r="AB47" s="1"/>
      <c r="AC47" s="1"/>
      <c r="AD47" s="1"/>
      <c r="AE47" s="1"/>
      <c r="AF47" s="1"/>
      <c r="AG47" s="1"/>
    </row>
    <row r="48" spans="1:33" s="3" customFormat="1" ht="1.5" customHeight="1" thickTop="1">
      <c r="B48" s="375"/>
      <c r="C48" s="73"/>
      <c r="D48" s="73"/>
      <c r="E48" s="73"/>
      <c r="F48" s="73"/>
      <c r="G48" s="73"/>
      <c r="H48" s="73"/>
      <c r="I48" s="73"/>
      <c r="J48" s="371"/>
      <c r="K48" s="67"/>
      <c r="AB48" s="1"/>
      <c r="AC48" s="1"/>
      <c r="AD48" s="1"/>
      <c r="AE48" s="1"/>
      <c r="AF48" s="1"/>
      <c r="AG48" s="1"/>
    </row>
    <row r="49" spans="2:33" s="3" customFormat="1" ht="15.75">
      <c r="B49" s="529"/>
      <c r="C49" s="530"/>
      <c r="D49" s="531"/>
      <c r="E49" s="356"/>
      <c r="F49" s="357"/>
      <c r="G49" s="357"/>
      <c r="H49" s="357"/>
      <c r="I49" s="358"/>
      <c r="J49" s="359"/>
      <c r="K49" s="67"/>
      <c r="AB49" s="1"/>
      <c r="AC49" s="1"/>
      <c r="AD49" s="1"/>
      <c r="AE49" s="1"/>
      <c r="AF49" s="1"/>
      <c r="AG49" s="1"/>
    </row>
    <row r="50" spans="2:33" s="3" customFormat="1" ht="15.75">
      <c r="B50" s="499"/>
      <c r="C50" s="500"/>
      <c r="D50" s="501"/>
      <c r="E50" s="312"/>
      <c r="F50" s="313"/>
      <c r="G50" s="313"/>
      <c r="H50" s="313"/>
      <c r="I50" s="314"/>
      <c r="J50" s="315"/>
    </row>
    <row r="51" spans="2:33" s="3" customFormat="1" ht="15.75">
      <c r="B51" s="499"/>
      <c r="C51" s="500"/>
      <c r="D51" s="501"/>
      <c r="E51" s="312"/>
      <c r="F51" s="313"/>
      <c r="G51" s="313"/>
      <c r="H51" s="313"/>
      <c r="I51" s="314"/>
      <c r="J51" s="315"/>
    </row>
    <row r="52" spans="2:33" s="3" customFormat="1" ht="15.75">
      <c r="B52" s="499"/>
      <c r="C52" s="500"/>
      <c r="D52" s="501"/>
      <c r="E52" s="312"/>
      <c r="F52" s="313"/>
      <c r="G52" s="313"/>
      <c r="H52" s="313"/>
      <c r="I52" s="314"/>
      <c r="J52" s="315"/>
    </row>
    <row r="53" spans="2:33" s="3" customFormat="1" ht="16.5" thickBot="1">
      <c r="B53" s="537"/>
      <c r="C53" s="538"/>
      <c r="D53" s="539"/>
      <c r="E53" s="316"/>
      <c r="F53" s="317"/>
      <c r="G53" s="317"/>
      <c r="H53" s="317"/>
      <c r="I53" s="318"/>
      <c r="J53" s="319"/>
    </row>
    <row r="54" spans="2:33" s="3" customFormat="1" ht="15.75">
      <c r="B54" s="104"/>
      <c r="C54" s="104"/>
      <c r="D54" s="104"/>
      <c r="E54" s="70"/>
      <c r="F54" s="70"/>
      <c r="G54" s="70"/>
      <c r="H54" s="70"/>
      <c r="I54" s="71"/>
      <c r="J54" s="72"/>
    </row>
    <row r="55" spans="2:33" s="3" customFormat="1" ht="15.75"/>
    <row r="56" spans="2:33" s="3" customFormat="1" ht="15.75"/>
    <row r="57" spans="2:33" s="3" customFormat="1" ht="15.75"/>
    <row r="58" spans="2:33" s="3" customFormat="1" ht="15.75"/>
    <row r="59" spans="2:33" s="3" customFormat="1" ht="21" thickBot="1">
      <c r="B59" s="526" t="s">
        <v>155</v>
      </c>
      <c r="C59" s="526"/>
      <c r="D59" s="526"/>
      <c r="E59" s="526"/>
    </row>
    <row r="60" spans="2:33" s="3" customFormat="1" ht="15.75">
      <c r="B60" s="389"/>
      <c r="C60" s="367"/>
      <c r="D60" s="367"/>
      <c r="E60" s="367"/>
      <c r="F60" s="367"/>
      <c r="G60" s="367"/>
      <c r="H60" s="367"/>
      <c r="I60" s="367"/>
      <c r="J60" s="367"/>
      <c r="K60" s="367"/>
      <c r="L60" s="367"/>
      <c r="M60" s="390"/>
    </row>
    <row r="61" spans="2:33" s="3" customFormat="1" ht="15.75">
      <c r="B61" s="512" t="s">
        <v>4</v>
      </c>
      <c r="C61" s="513"/>
      <c r="D61" s="513"/>
      <c r="E61" s="568" t="s">
        <v>79</v>
      </c>
      <c r="F61" s="569"/>
      <c r="G61" s="569"/>
      <c r="H61" s="569"/>
      <c r="I61" s="73" t="s">
        <v>5</v>
      </c>
      <c r="J61" s="73" t="s">
        <v>6</v>
      </c>
      <c r="K61" s="575" t="s">
        <v>46</v>
      </c>
      <c r="L61" s="575"/>
      <c r="M61" s="576"/>
      <c r="AB61" s="1"/>
      <c r="AC61" s="1"/>
      <c r="AD61" s="1"/>
      <c r="AE61" s="84"/>
      <c r="AF61" s="1"/>
      <c r="AG61" s="1"/>
    </row>
    <row r="62" spans="2:33" s="3" customFormat="1" ht="32.25" thickBot="1">
      <c r="B62" s="387"/>
      <c r="C62" s="388"/>
      <c r="D62" s="388"/>
      <c r="E62" s="340" t="s">
        <v>122</v>
      </c>
      <c r="F62" s="340" t="s">
        <v>188</v>
      </c>
      <c r="G62" s="340" t="s">
        <v>187</v>
      </c>
      <c r="H62" s="340" t="s">
        <v>186</v>
      </c>
      <c r="I62" s="354" t="s">
        <v>128</v>
      </c>
      <c r="J62" s="340" t="s">
        <v>49</v>
      </c>
      <c r="K62" s="385"/>
      <c r="L62" s="385"/>
      <c r="M62" s="386"/>
      <c r="AB62" s="1"/>
      <c r="AC62" s="1"/>
      <c r="AD62" s="1"/>
      <c r="AE62" s="1"/>
      <c r="AF62" s="1"/>
      <c r="AG62" s="1"/>
    </row>
    <row r="63" spans="2:33" s="3" customFormat="1" ht="16.5" thickTop="1">
      <c r="B63" s="510" t="str">
        <f>IF(B49="","Custom Fan 1",B49)</f>
        <v>Custom Fan 1</v>
      </c>
      <c r="C63" s="511"/>
      <c r="D63" s="511"/>
      <c r="E63" s="384">
        <f t="shared" ref="E63:J64" si="11">E49</f>
        <v>0</v>
      </c>
      <c r="F63" s="384">
        <f t="shared" si="11"/>
        <v>0</v>
      </c>
      <c r="G63" s="384">
        <f t="shared" si="11"/>
        <v>0</v>
      </c>
      <c r="H63" s="384">
        <f t="shared" si="11"/>
        <v>0</v>
      </c>
      <c r="I63" s="384">
        <f t="shared" si="11"/>
        <v>0</v>
      </c>
      <c r="J63" s="384">
        <f t="shared" si="11"/>
        <v>0</v>
      </c>
      <c r="K63" s="565"/>
      <c r="L63" s="566"/>
      <c r="M63" s="567"/>
      <c r="AB63" s="1"/>
      <c r="AC63" s="1"/>
      <c r="AD63" s="1"/>
      <c r="AE63" s="1"/>
      <c r="AF63" s="1"/>
      <c r="AG63" s="1"/>
    </row>
    <row r="64" spans="2:33" s="3" customFormat="1" ht="15.75">
      <c r="B64" s="508" t="str">
        <f>IF(B50="","Custom Fan 2",B50)</f>
        <v>Custom Fan 2</v>
      </c>
      <c r="C64" s="509"/>
      <c r="D64" s="509"/>
      <c r="E64" s="383">
        <f t="shared" si="11"/>
        <v>0</v>
      </c>
      <c r="F64" s="383">
        <f t="shared" si="11"/>
        <v>0</v>
      </c>
      <c r="G64" s="383">
        <f t="shared" si="11"/>
        <v>0</v>
      </c>
      <c r="H64" s="383">
        <f t="shared" si="11"/>
        <v>0</v>
      </c>
      <c r="I64" s="383">
        <f t="shared" si="11"/>
        <v>0</v>
      </c>
      <c r="J64" s="383">
        <f t="shared" si="11"/>
        <v>0</v>
      </c>
      <c r="K64" s="557"/>
      <c r="L64" s="558"/>
      <c r="M64" s="559"/>
      <c r="AB64" s="1"/>
      <c r="AC64" s="1"/>
      <c r="AD64" s="1"/>
      <c r="AE64" s="1"/>
      <c r="AF64" s="1"/>
      <c r="AG64" s="1"/>
    </row>
    <row r="65" spans="2:33" s="3" customFormat="1" ht="15.75">
      <c r="B65" s="508" t="str">
        <f>IF(B51="","Custom Fan 3",B51)</f>
        <v>Custom Fan 3</v>
      </c>
      <c r="C65" s="509"/>
      <c r="D65" s="509"/>
      <c r="E65" s="383">
        <f t="shared" ref="E65:J65" si="12">E51</f>
        <v>0</v>
      </c>
      <c r="F65" s="383">
        <f t="shared" si="12"/>
        <v>0</v>
      </c>
      <c r="G65" s="383">
        <f t="shared" si="12"/>
        <v>0</v>
      </c>
      <c r="H65" s="383">
        <f t="shared" si="12"/>
        <v>0</v>
      </c>
      <c r="I65" s="383">
        <f t="shared" si="12"/>
        <v>0</v>
      </c>
      <c r="J65" s="383">
        <f t="shared" si="12"/>
        <v>0</v>
      </c>
      <c r="K65" s="557"/>
      <c r="L65" s="558"/>
      <c r="M65" s="559"/>
      <c r="AB65" s="1"/>
      <c r="AC65" s="1"/>
      <c r="AD65" s="1"/>
      <c r="AE65" s="1"/>
      <c r="AF65" s="1"/>
      <c r="AG65" s="1"/>
    </row>
    <row r="66" spans="2:33" s="3" customFormat="1" ht="15.75">
      <c r="B66" s="508" t="str">
        <f>IF(B52="","Custom Fan 4",B52)</f>
        <v>Custom Fan 4</v>
      </c>
      <c r="C66" s="509"/>
      <c r="D66" s="509"/>
      <c r="E66" s="383">
        <f t="shared" ref="E66:J66" si="13">E52</f>
        <v>0</v>
      </c>
      <c r="F66" s="383">
        <f t="shared" si="13"/>
        <v>0</v>
      </c>
      <c r="G66" s="383">
        <f t="shared" si="13"/>
        <v>0</v>
      </c>
      <c r="H66" s="383">
        <f t="shared" si="13"/>
        <v>0</v>
      </c>
      <c r="I66" s="383">
        <f t="shared" si="13"/>
        <v>0</v>
      </c>
      <c r="J66" s="383">
        <f t="shared" si="13"/>
        <v>0</v>
      </c>
      <c r="K66" s="557"/>
      <c r="L66" s="558"/>
      <c r="M66" s="559"/>
      <c r="Q66" s="68"/>
      <c r="AB66" s="1"/>
      <c r="AC66" s="79"/>
      <c r="AD66" s="1"/>
      <c r="AE66" s="79"/>
      <c r="AF66" s="1"/>
      <c r="AG66" s="1"/>
    </row>
    <row r="67" spans="2:33" s="3" customFormat="1" ht="15.75">
      <c r="B67" s="508" t="str">
        <f>IF(B53="","Custom Fan 5",B53)</f>
        <v>Custom Fan 5</v>
      </c>
      <c r="C67" s="509"/>
      <c r="D67" s="509"/>
      <c r="E67" s="383">
        <f t="shared" ref="E67:J67" si="14">E53</f>
        <v>0</v>
      </c>
      <c r="F67" s="383">
        <f t="shared" si="14"/>
        <v>0</v>
      </c>
      <c r="G67" s="383">
        <f t="shared" si="14"/>
        <v>0</v>
      </c>
      <c r="H67" s="383">
        <f t="shared" si="14"/>
        <v>0</v>
      </c>
      <c r="I67" s="383">
        <f t="shared" si="14"/>
        <v>0</v>
      </c>
      <c r="J67" s="383">
        <f t="shared" si="14"/>
        <v>0</v>
      </c>
      <c r="K67" s="557"/>
      <c r="L67" s="558"/>
      <c r="M67" s="559"/>
      <c r="Q67" s="68"/>
      <c r="AB67" s="1"/>
      <c r="AC67" s="79"/>
      <c r="AD67" s="1"/>
      <c r="AE67" s="79"/>
      <c r="AF67" s="1"/>
      <c r="AG67" s="1"/>
    </row>
    <row r="68" spans="2:33" s="3" customFormat="1" ht="15.75">
      <c r="B68" s="494" t="s">
        <v>68</v>
      </c>
      <c r="C68" s="495"/>
      <c r="D68" s="495"/>
      <c r="E68" s="320">
        <v>46553</v>
      </c>
      <c r="F68" s="320">
        <v>43665</v>
      </c>
      <c r="G68" s="321">
        <v>40946</v>
      </c>
      <c r="H68" s="321">
        <v>37548</v>
      </c>
      <c r="I68" s="322">
        <v>35</v>
      </c>
      <c r="J68" s="481">
        <v>1133</v>
      </c>
      <c r="K68" s="491" t="s">
        <v>50</v>
      </c>
      <c r="L68" s="492"/>
      <c r="M68" s="493"/>
      <c r="Q68" s="68"/>
      <c r="AB68" s="1"/>
      <c r="AC68" s="79"/>
      <c r="AD68" s="1"/>
      <c r="AE68" s="79"/>
      <c r="AF68" s="1"/>
      <c r="AG68" s="1"/>
    </row>
    <row r="69" spans="2:33" s="3" customFormat="1" ht="15.75">
      <c r="B69" s="494" t="s">
        <v>69</v>
      </c>
      <c r="C69" s="495"/>
      <c r="D69" s="495"/>
      <c r="E69" s="320">
        <v>46720</v>
      </c>
      <c r="F69" s="320">
        <v>43665</v>
      </c>
      <c r="G69" s="321">
        <v>39925</v>
      </c>
      <c r="H69" s="321">
        <v>35850</v>
      </c>
      <c r="I69" s="322">
        <v>32.799999999999997</v>
      </c>
      <c r="J69" s="481">
        <v>1198.32</v>
      </c>
      <c r="K69" s="491" t="s">
        <v>57</v>
      </c>
      <c r="L69" s="492"/>
      <c r="M69" s="493"/>
      <c r="Q69" s="68"/>
      <c r="AB69" s="1"/>
      <c r="AC69" s="79"/>
      <c r="AD69" s="1"/>
      <c r="AE69" s="79"/>
      <c r="AF69" s="1"/>
      <c r="AG69" s="1"/>
    </row>
    <row r="70" spans="2:33" s="3" customFormat="1" ht="15.75">
      <c r="B70" s="494" t="s">
        <v>70</v>
      </c>
      <c r="C70" s="495"/>
      <c r="D70" s="495"/>
      <c r="E70" s="320">
        <v>43665</v>
      </c>
      <c r="F70" s="320">
        <v>40605</v>
      </c>
      <c r="G70" s="321">
        <v>37038</v>
      </c>
      <c r="H70" s="321">
        <v>32790</v>
      </c>
      <c r="I70" s="322">
        <v>32.96</v>
      </c>
      <c r="J70" s="481">
        <v>1542.0900000000001</v>
      </c>
      <c r="K70" s="491" t="s">
        <v>58</v>
      </c>
      <c r="L70" s="492"/>
      <c r="M70" s="493"/>
      <c r="Q70" s="68"/>
      <c r="AB70" s="1"/>
      <c r="AC70" s="79"/>
      <c r="AD70" s="1"/>
      <c r="AE70" s="79"/>
      <c r="AF70" s="1"/>
      <c r="AG70" s="1"/>
    </row>
    <row r="71" spans="2:33" s="3" customFormat="1" ht="15.75">
      <c r="B71" s="494" t="s">
        <v>71</v>
      </c>
      <c r="C71" s="495"/>
      <c r="D71" s="495"/>
      <c r="E71" s="320">
        <v>45363</v>
      </c>
      <c r="F71" s="320">
        <v>42645</v>
      </c>
      <c r="G71" s="321">
        <v>39417</v>
      </c>
      <c r="H71" s="321">
        <v>35509</v>
      </c>
      <c r="I71" s="322">
        <v>41.14</v>
      </c>
      <c r="J71" s="481">
        <v>1464</v>
      </c>
      <c r="K71" s="491" t="s">
        <v>51</v>
      </c>
      <c r="L71" s="492"/>
      <c r="M71" s="493"/>
      <c r="Q71" s="68"/>
      <c r="AB71" s="1"/>
      <c r="AC71" s="79"/>
      <c r="AD71" s="1"/>
      <c r="AE71" s="79"/>
      <c r="AF71" s="1"/>
      <c r="AG71" s="1"/>
    </row>
    <row r="72" spans="2:33" s="3" customFormat="1" ht="15.75">
      <c r="B72" s="494" t="s">
        <v>48</v>
      </c>
      <c r="C72" s="495"/>
      <c r="D72" s="495"/>
      <c r="E72" s="320">
        <v>32978</v>
      </c>
      <c r="F72" s="320">
        <v>30786</v>
      </c>
      <c r="G72" s="321">
        <v>27713</v>
      </c>
      <c r="H72" s="321">
        <v>24365</v>
      </c>
      <c r="I72" s="322">
        <v>26.5</v>
      </c>
      <c r="J72" s="481">
        <v>908</v>
      </c>
      <c r="K72" s="491" t="s">
        <v>202</v>
      </c>
      <c r="L72" s="492"/>
      <c r="M72" s="493"/>
      <c r="Q72" s="68"/>
      <c r="AB72" s="1"/>
      <c r="AC72" s="79"/>
      <c r="AD72" s="1"/>
      <c r="AE72" s="79"/>
      <c r="AF72" s="1"/>
      <c r="AG72" s="1"/>
    </row>
    <row r="73" spans="2:33" s="3" customFormat="1" ht="15.75">
      <c r="B73" s="494" t="s">
        <v>35</v>
      </c>
      <c r="C73" s="495"/>
      <c r="D73" s="495"/>
      <c r="E73" s="320">
        <v>40042</v>
      </c>
      <c r="F73" s="320">
        <v>38272</v>
      </c>
      <c r="G73" s="321">
        <v>36028</v>
      </c>
      <c r="H73" s="321">
        <v>33717</v>
      </c>
      <c r="I73" s="322">
        <v>21.76</v>
      </c>
      <c r="J73" s="481">
        <v>931.25</v>
      </c>
      <c r="K73" s="491" t="s">
        <v>203</v>
      </c>
      <c r="L73" s="492"/>
      <c r="M73" s="493"/>
      <c r="Q73" s="68"/>
      <c r="AB73" s="1"/>
      <c r="AC73" s="79"/>
      <c r="AD73" s="1"/>
      <c r="AE73" s="79"/>
      <c r="AF73" s="1"/>
      <c r="AG73" s="1"/>
    </row>
    <row r="74" spans="2:33" s="3" customFormat="1" ht="15.75">
      <c r="B74" s="494" t="s">
        <v>72</v>
      </c>
      <c r="C74" s="495"/>
      <c r="D74" s="495"/>
      <c r="E74" s="320">
        <v>38590</v>
      </c>
      <c r="F74" s="320">
        <v>35870</v>
      </c>
      <c r="G74" s="321">
        <v>32640</v>
      </c>
      <c r="H74" s="321">
        <v>28560</v>
      </c>
      <c r="I74" s="322">
        <v>33.659999999999997</v>
      </c>
      <c r="J74" s="481">
        <v>1101</v>
      </c>
      <c r="K74" s="491" t="s">
        <v>204</v>
      </c>
      <c r="L74" s="492"/>
      <c r="M74" s="493"/>
      <c r="Q74" s="68"/>
      <c r="AB74" s="1"/>
      <c r="AC74" s="79"/>
      <c r="AD74" s="1"/>
      <c r="AE74" s="79"/>
      <c r="AF74" s="1"/>
      <c r="AG74" s="1"/>
    </row>
    <row r="75" spans="2:33" s="3" customFormat="1" ht="15.75">
      <c r="B75" s="494" t="s">
        <v>73</v>
      </c>
      <c r="C75" s="495"/>
      <c r="D75" s="495"/>
      <c r="E75" s="320">
        <v>44401.413005853203</v>
      </c>
      <c r="F75" s="320">
        <v>42526.100417576403</v>
      </c>
      <c r="G75" s="321">
        <v>40450.726029558697</v>
      </c>
      <c r="H75" s="321">
        <v>38017.6613741459</v>
      </c>
      <c r="I75" s="322">
        <v>26.732313234725201</v>
      </c>
      <c r="J75" s="481">
        <v>1121</v>
      </c>
      <c r="K75" s="491" t="s">
        <v>205</v>
      </c>
      <c r="L75" s="492"/>
      <c r="M75" s="493"/>
      <c r="Q75" s="68"/>
      <c r="AB75" s="1"/>
      <c r="AC75" s="79"/>
      <c r="AD75" s="1"/>
      <c r="AE75" s="79"/>
      <c r="AF75" s="1"/>
      <c r="AG75" s="1"/>
    </row>
    <row r="76" spans="2:33" s="3" customFormat="1" ht="15.75">
      <c r="B76" s="494" t="s">
        <v>198</v>
      </c>
      <c r="C76" s="495"/>
      <c r="D76" s="495"/>
      <c r="E76" s="320">
        <v>44300</v>
      </c>
      <c r="F76" s="320">
        <v>40800</v>
      </c>
      <c r="G76" s="321">
        <v>36900</v>
      </c>
      <c r="H76" s="321">
        <v>32600</v>
      </c>
      <c r="I76" s="322">
        <v>36.5</v>
      </c>
      <c r="J76" s="481">
        <v>1550</v>
      </c>
      <c r="K76" s="451" t="s">
        <v>197</v>
      </c>
      <c r="L76" s="452"/>
      <c r="M76" s="453"/>
      <c r="Q76" s="68"/>
      <c r="AB76" s="1"/>
      <c r="AC76" s="79"/>
      <c r="AD76" s="1"/>
      <c r="AE76" s="79"/>
      <c r="AF76" s="1"/>
      <c r="AG76" s="1"/>
    </row>
    <row r="77" spans="2:33" s="3" customFormat="1" ht="15.75">
      <c r="B77" s="494" t="s">
        <v>199</v>
      </c>
      <c r="C77" s="495"/>
      <c r="D77" s="495"/>
      <c r="E77" s="320">
        <v>40800</v>
      </c>
      <c r="F77" s="320">
        <v>36800</v>
      </c>
      <c r="G77" s="321">
        <v>30300</v>
      </c>
      <c r="H77" s="321">
        <v>26300</v>
      </c>
      <c r="I77" s="322">
        <v>31.9</v>
      </c>
      <c r="J77" s="481">
        <v>1500</v>
      </c>
      <c r="K77" s="451" t="s">
        <v>207</v>
      </c>
      <c r="L77" s="452"/>
      <c r="M77" s="453"/>
      <c r="Q77" s="68"/>
      <c r="AB77" s="1"/>
      <c r="AC77" s="79"/>
      <c r="AD77" s="1"/>
      <c r="AE77" s="79"/>
      <c r="AF77" s="1"/>
      <c r="AG77" s="1"/>
    </row>
    <row r="78" spans="2:33" s="3" customFormat="1" ht="15.75">
      <c r="B78" s="494" t="s">
        <v>200</v>
      </c>
      <c r="C78" s="495"/>
      <c r="D78" s="495"/>
      <c r="E78" s="320">
        <v>44600</v>
      </c>
      <c r="F78" s="320">
        <v>41500</v>
      </c>
      <c r="G78" s="321">
        <v>37900</v>
      </c>
      <c r="H78" s="321">
        <v>34200</v>
      </c>
      <c r="I78" s="322">
        <v>30.1</v>
      </c>
      <c r="J78" s="481">
        <v>1500</v>
      </c>
      <c r="K78" s="451" t="s">
        <v>201</v>
      </c>
      <c r="L78" s="452"/>
      <c r="M78" s="453"/>
      <c r="Q78" s="68"/>
      <c r="AB78" s="1"/>
      <c r="AC78" s="79"/>
      <c r="AD78" s="1"/>
      <c r="AE78" s="79"/>
      <c r="AF78" s="1"/>
      <c r="AG78" s="1"/>
    </row>
    <row r="79" spans="2:33" s="3" customFormat="1" ht="15.75">
      <c r="B79" s="494" t="s">
        <v>67</v>
      </c>
      <c r="C79" s="495"/>
      <c r="D79" s="495"/>
      <c r="E79" s="320">
        <v>49470</v>
      </c>
      <c r="F79" s="320">
        <v>46070</v>
      </c>
      <c r="G79" s="321">
        <v>41310</v>
      </c>
      <c r="H79" s="321">
        <v>34340</v>
      </c>
      <c r="I79" s="322">
        <v>31.2</v>
      </c>
      <c r="J79" s="481">
        <v>2189</v>
      </c>
      <c r="K79" s="491" t="s">
        <v>52</v>
      </c>
      <c r="L79" s="492"/>
      <c r="M79" s="493"/>
      <c r="Q79" s="68"/>
      <c r="AB79" s="1"/>
      <c r="AC79" s="79"/>
      <c r="AD79" s="1"/>
      <c r="AE79" s="79"/>
      <c r="AF79" s="1"/>
      <c r="AG79" s="1"/>
    </row>
    <row r="80" spans="2:33" s="3" customFormat="1" ht="15.75">
      <c r="B80" s="494" t="s">
        <v>74</v>
      </c>
      <c r="C80" s="495"/>
      <c r="D80" s="495"/>
      <c r="E80" s="320">
        <v>54400</v>
      </c>
      <c r="F80" s="320">
        <v>50320</v>
      </c>
      <c r="G80" s="321">
        <v>44880</v>
      </c>
      <c r="H80" s="321">
        <v>36890</v>
      </c>
      <c r="I80" s="322">
        <v>33.799999999999997</v>
      </c>
      <c r="J80" s="481">
        <v>2445</v>
      </c>
      <c r="K80" s="491" t="s">
        <v>53</v>
      </c>
      <c r="L80" s="492"/>
      <c r="M80" s="493"/>
      <c r="Q80" s="68"/>
      <c r="AB80" s="1"/>
      <c r="AC80" s="79"/>
      <c r="AD80" s="1"/>
      <c r="AE80" s="79"/>
      <c r="AF80" s="1"/>
      <c r="AG80" s="1"/>
    </row>
    <row r="81" spans="2:33" s="3" customFormat="1" ht="15.75">
      <c r="B81" s="494" t="s">
        <v>65</v>
      </c>
      <c r="C81" s="495"/>
      <c r="D81" s="495"/>
      <c r="E81" s="321">
        <v>40235.599999999999</v>
      </c>
      <c r="F81" s="321">
        <v>37655</v>
      </c>
      <c r="G81" s="321">
        <v>34690.199999999997</v>
      </c>
      <c r="H81" s="321">
        <v>29998.2</v>
      </c>
      <c r="I81" s="323">
        <v>32.64</v>
      </c>
      <c r="J81" s="481">
        <v>1758</v>
      </c>
      <c r="K81" s="577" t="s">
        <v>189</v>
      </c>
      <c r="L81" s="578"/>
      <c r="M81" s="579"/>
      <c r="Q81" s="68"/>
      <c r="AB81" s="1"/>
      <c r="AC81" s="79"/>
      <c r="AD81" s="1"/>
      <c r="AE81" s="79"/>
      <c r="AF81" s="1"/>
      <c r="AG81" s="1"/>
    </row>
    <row r="82" spans="2:33" s="3" customFormat="1" ht="15.75">
      <c r="B82" s="494" t="s">
        <v>64</v>
      </c>
      <c r="C82" s="495"/>
      <c r="D82" s="495"/>
      <c r="E82" s="321">
        <v>45042</v>
      </c>
      <c r="F82" s="321">
        <v>42720</v>
      </c>
      <c r="G82" s="321">
        <v>40294</v>
      </c>
      <c r="H82" s="321">
        <v>37303</v>
      </c>
      <c r="I82" s="323">
        <v>26.33</v>
      </c>
      <c r="J82" s="481">
        <v>1830</v>
      </c>
      <c r="K82" s="577" t="s">
        <v>189</v>
      </c>
      <c r="L82" s="578"/>
      <c r="M82" s="579"/>
      <c r="Q82" s="68"/>
      <c r="AB82" s="1"/>
      <c r="AC82" s="79"/>
      <c r="AD82" s="1"/>
      <c r="AE82" s="79"/>
      <c r="AF82" s="1"/>
      <c r="AG82" s="1"/>
    </row>
    <row r="83" spans="2:33" s="3" customFormat="1" ht="15.75">
      <c r="B83" s="494" t="s">
        <v>63</v>
      </c>
      <c r="C83" s="495"/>
      <c r="D83" s="495"/>
      <c r="E83" s="321">
        <v>48875</v>
      </c>
      <c r="F83" s="321">
        <v>46711</v>
      </c>
      <c r="G83" s="321">
        <v>44529</v>
      </c>
      <c r="H83" s="321">
        <v>42089.599999999999</v>
      </c>
      <c r="I83" s="323">
        <v>20.100000000000001</v>
      </c>
      <c r="J83" s="481">
        <v>1892</v>
      </c>
      <c r="K83" s="577" t="s">
        <v>189</v>
      </c>
      <c r="L83" s="578"/>
      <c r="M83" s="579"/>
      <c r="Q83" s="68"/>
      <c r="AB83" s="1"/>
      <c r="AC83" s="79"/>
      <c r="AD83" s="1"/>
      <c r="AE83" s="79"/>
      <c r="AF83" s="1"/>
      <c r="AG83" s="1"/>
    </row>
    <row r="84" spans="2:33" s="3" customFormat="1" ht="15.75">
      <c r="B84" s="494" t="s">
        <v>156</v>
      </c>
      <c r="C84" s="495"/>
      <c r="D84" s="495"/>
      <c r="E84" s="321">
        <v>31387</v>
      </c>
      <c r="F84" s="321">
        <v>29053</v>
      </c>
      <c r="G84" s="321">
        <v>26651</v>
      </c>
      <c r="H84" s="321">
        <v>23774</v>
      </c>
      <c r="I84" s="323">
        <v>31.3</v>
      </c>
      <c r="J84" s="481">
        <v>1458</v>
      </c>
      <c r="K84" s="577" t="s">
        <v>189</v>
      </c>
      <c r="L84" s="578"/>
      <c r="M84" s="579"/>
      <c r="Q84" s="68"/>
      <c r="AB84" s="1"/>
      <c r="AC84" s="79"/>
      <c r="AD84" s="1"/>
      <c r="AE84" s="79"/>
      <c r="AF84" s="1"/>
      <c r="AG84" s="1"/>
    </row>
    <row r="85" spans="2:33" s="3" customFormat="1" ht="15.75">
      <c r="B85" s="494" t="s">
        <v>75</v>
      </c>
      <c r="C85" s="495"/>
      <c r="D85" s="495"/>
      <c r="E85" s="321">
        <v>41310</v>
      </c>
      <c r="F85" s="321">
        <v>37570</v>
      </c>
      <c r="G85" s="321">
        <v>33150</v>
      </c>
      <c r="H85" s="321">
        <v>26350</v>
      </c>
      <c r="I85" s="323">
        <v>30.43</v>
      </c>
      <c r="J85" s="481">
        <v>1708</v>
      </c>
      <c r="K85" s="577" t="s">
        <v>190</v>
      </c>
      <c r="L85" s="578"/>
      <c r="M85" s="579"/>
      <c r="Q85" s="68"/>
      <c r="AB85" s="1"/>
      <c r="AC85" s="79"/>
      <c r="AD85" s="1"/>
      <c r="AE85" s="79"/>
      <c r="AF85" s="1"/>
      <c r="AG85" s="1"/>
    </row>
    <row r="86" spans="2:33" s="3" customFormat="1" ht="15.75">
      <c r="B86" s="494" t="s">
        <v>78</v>
      </c>
      <c r="C86" s="495"/>
      <c r="D86" s="495"/>
      <c r="E86" s="321">
        <v>43494</v>
      </c>
      <c r="F86" s="321">
        <v>40266</v>
      </c>
      <c r="G86" s="321">
        <v>36019</v>
      </c>
      <c r="H86" s="321">
        <v>30752</v>
      </c>
      <c r="I86" s="323">
        <v>46.2</v>
      </c>
      <c r="J86" s="481">
        <v>1888</v>
      </c>
      <c r="K86" s="491" t="s">
        <v>206</v>
      </c>
      <c r="L86" s="492"/>
      <c r="M86" s="493"/>
      <c r="Q86" s="68"/>
      <c r="AB86" s="1"/>
      <c r="AC86" s="79"/>
      <c r="AD86" s="1"/>
      <c r="AE86" s="79"/>
      <c r="AF86" s="1"/>
      <c r="AG86" s="1"/>
    </row>
    <row r="87" spans="2:33" s="3" customFormat="1" ht="15.75">
      <c r="B87" s="494" t="s">
        <v>66</v>
      </c>
      <c r="C87" s="495"/>
      <c r="D87" s="495"/>
      <c r="E87" s="320">
        <v>35530</v>
      </c>
      <c r="F87" s="320">
        <v>32300</v>
      </c>
      <c r="G87" s="321">
        <v>28050</v>
      </c>
      <c r="H87" s="321">
        <v>21590</v>
      </c>
      <c r="I87" s="322">
        <v>33.49</v>
      </c>
      <c r="J87" s="481">
        <v>1470</v>
      </c>
      <c r="K87" s="491" t="s">
        <v>54</v>
      </c>
      <c r="L87" s="492"/>
      <c r="M87" s="493"/>
      <c r="Q87" s="68"/>
      <c r="AB87" s="1"/>
      <c r="AC87" s="79"/>
      <c r="AD87" s="1"/>
      <c r="AE87" s="79"/>
      <c r="AF87" s="1"/>
      <c r="AG87" s="1"/>
    </row>
    <row r="88" spans="2:33" s="3" customFormat="1" ht="15.75">
      <c r="B88" s="496" t="s">
        <v>173</v>
      </c>
      <c r="C88" s="497"/>
      <c r="D88" s="498"/>
      <c r="E88" s="321">
        <v>51310</v>
      </c>
      <c r="F88" s="321">
        <v>47912</v>
      </c>
      <c r="G88" s="321">
        <v>43834</v>
      </c>
      <c r="H88" s="321">
        <v>39926</v>
      </c>
      <c r="I88" s="323">
        <v>33.799999999999997</v>
      </c>
      <c r="J88" s="481">
        <v>1542</v>
      </c>
      <c r="K88" s="451" t="s">
        <v>174</v>
      </c>
      <c r="L88" s="452"/>
      <c r="M88" s="453"/>
      <c r="O88" s="2"/>
      <c r="P88" s="78"/>
      <c r="Q88" s="78"/>
      <c r="AB88" s="1"/>
      <c r="AC88" s="79"/>
      <c r="AD88" s="1"/>
      <c r="AE88" s="79"/>
      <c r="AF88" s="1"/>
      <c r="AG88" s="1"/>
    </row>
    <row r="89" spans="2:33" s="3" customFormat="1" ht="15.75">
      <c r="B89" s="494" t="s">
        <v>55</v>
      </c>
      <c r="C89" s="495"/>
      <c r="D89" s="495"/>
      <c r="E89" s="320">
        <v>35400</v>
      </c>
      <c r="F89" s="320">
        <v>32100</v>
      </c>
      <c r="G89" s="321">
        <v>27200</v>
      </c>
      <c r="H89" s="321">
        <v>22500</v>
      </c>
      <c r="I89" s="322">
        <v>27.3</v>
      </c>
      <c r="J89" s="481">
        <v>720</v>
      </c>
      <c r="K89" s="491" t="s">
        <v>59</v>
      </c>
      <c r="L89" s="492"/>
      <c r="M89" s="493"/>
      <c r="O89" s="78"/>
      <c r="P89" s="78"/>
      <c r="Q89" s="78"/>
      <c r="AB89" s="1"/>
      <c r="AC89" s="79"/>
      <c r="AD89" s="1"/>
      <c r="AE89" s="79"/>
      <c r="AF89" s="1"/>
      <c r="AG89" s="1"/>
    </row>
    <row r="90" spans="2:33" s="3" customFormat="1" ht="15.75">
      <c r="B90" s="494" t="s">
        <v>56</v>
      </c>
      <c r="C90" s="495"/>
      <c r="D90" s="495"/>
      <c r="E90" s="320">
        <v>40200</v>
      </c>
      <c r="F90" s="320">
        <v>37800</v>
      </c>
      <c r="G90" s="321">
        <v>34600</v>
      </c>
      <c r="H90" s="321">
        <v>30600</v>
      </c>
      <c r="I90" s="322">
        <v>25.4</v>
      </c>
      <c r="J90" s="481">
        <v>720</v>
      </c>
      <c r="K90" s="580" t="s">
        <v>60</v>
      </c>
      <c r="L90" s="581"/>
      <c r="M90" s="582"/>
      <c r="O90" s="2"/>
      <c r="P90" s="78"/>
      <c r="Q90" s="221"/>
      <c r="AB90" s="1"/>
      <c r="AC90" s="79"/>
      <c r="AD90" s="1"/>
      <c r="AE90" s="79"/>
      <c r="AF90" s="1"/>
      <c r="AG90" s="1"/>
    </row>
    <row r="91" spans="2:33" s="3" customFormat="1" ht="15.75">
      <c r="B91" s="494" t="s">
        <v>76</v>
      </c>
      <c r="C91" s="495"/>
      <c r="D91" s="495"/>
      <c r="E91" s="320">
        <v>38800</v>
      </c>
      <c r="F91" s="320">
        <v>35800</v>
      </c>
      <c r="G91" s="321">
        <v>32400</v>
      </c>
      <c r="H91" s="321">
        <v>28200</v>
      </c>
      <c r="I91" s="322">
        <v>30.6</v>
      </c>
      <c r="J91" s="481">
        <v>890</v>
      </c>
      <c r="K91" s="491" t="s">
        <v>61</v>
      </c>
      <c r="L91" s="492"/>
      <c r="M91" s="493"/>
      <c r="O91" s="2"/>
      <c r="P91" s="78"/>
      <c r="Q91" s="221"/>
      <c r="AB91" s="1"/>
      <c r="AC91" s="79"/>
      <c r="AD91" s="1"/>
      <c r="AE91" s="79"/>
      <c r="AF91" s="1"/>
      <c r="AG91" s="1"/>
    </row>
    <row r="92" spans="2:33" s="3" customFormat="1" ht="15.75">
      <c r="B92" s="494" t="s">
        <v>77</v>
      </c>
      <c r="C92" s="495"/>
      <c r="D92" s="495"/>
      <c r="E92" s="320">
        <v>44100</v>
      </c>
      <c r="F92" s="320">
        <v>41700</v>
      </c>
      <c r="G92" s="321">
        <v>38900</v>
      </c>
      <c r="H92" s="321">
        <v>36100</v>
      </c>
      <c r="I92" s="322">
        <v>28.5</v>
      </c>
      <c r="J92" s="481">
        <v>890</v>
      </c>
      <c r="K92" s="580" t="s">
        <v>62</v>
      </c>
      <c r="L92" s="581"/>
      <c r="M92" s="582"/>
      <c r="O92" s="78"/>
      <c r="P92" s="78"/>
      <c r="Q92" s="78"/>
      <c r="AB92" s="1"/>
      <c r="AC92" s="79"/>
      <c r="AD92" s="1"/>
      <c r="AE92" s="79"/>
      <c r="AF92" s="1"/>
      <c r="AG92" s="1"/>
    </row>
    <row r="93" spans="2:33" s="3" customFormat="1" ht="15.75">
      <c r="B93" s="496"/>
      <c r="C93" s="497"/>
      <c r="D93" s="498"/>
      <c r="E93" s="320"/>
      <c r="F93" s="320"/>
      <c r="G93" s="321"/>
      <c r="H93" s="321"/>
      <c r="I93" s="322"/>
      <c r="J93" s="392"/>
      <c r="K93" s="580"/>
      <c r="L93" s="581"/>
      <c r="M93" s="582"/>
      <c r="O93" s="78"/>
      <c r="P93" s="78"/>
      <c r="Q93" s="78"/>
      <c r="AB93" s="1"/>
      <c r="AC93" s="79"/>
      <c r="AD93" s="1"/>
      <c r="AE93" s="79"/>
      <c r="AF93" s="1"/>
      <c r="AG93" s="1"/>
    </row>
    <row r="94" spans="2:33" ht="15.75">
      <c r="B94" s="496"/>
      <c r="C94" s="497"/>
      <c r="D94" s="498"/>
      <c r="E94" s="321"/>
      <c r="F94" s="321"/>
      <c r="G94" s="321"/>
      <c r="H94" s="321"/>
      <c r="I94" s="323"/>
      <c r="J94" s="393"/>
      <c r="K94" s="580"/>
      <c r="L94" s="581"/>
      <c r="M94" s="582"/>
      <c r="N94" s="3"/>
      <c r="O94" s="78"/>
      <c r="P94" s="78"/>
      <c r="Q94" s="78"/>
      <c r="R94" s="3"/>
      <c r="S94" s="3"/>
      <c r="T94" s="3"/>
      <c r="U94" s="3"/>
      <c r="V94" s="3"/>
      <c r="W94" s="3"/>
      <c r="X94" s="3"/>
      <c r="Y94" s="3"/>
      <c r="Z94" s="3"/>
      <c r="AA94" s="3"/>
      <c r="AB94" s="1"/>
      <c r="AD94" s="1"/>
      <c r="AF94" s="1"/>
      <c r="AG94" s="1"/>
    </row>
    <row r="95" spans="2:33" ht="15.75">
      <c r="B95" s="496"/>
      <c r="C95" s="497"/>
      <c r="D95" s="498"/>
      <c r="E95" s="321"/>
      <c r="F95" s="321"/>
      <c r="G95" s="321"/>
      <c r="H95" s="321"/>
      <c r="I95" s="323"/>
      <c r="J95" s="393"/>
      <c r="K95" s="580"/>
      <c r="L95" s="581"/>
      <c r="M95" s="582"/>
      <c r="N95" s="3"/>
      <c r="O95" s="76"/>
      <c r="P95" s="78"/>
      <c r="Q95" s="78"/>
      <c r="R95" s="3"/>
      <c r="S95" s="3"/>
      <c r="T95" s="3"/>
      <c r="U95" s="3"/>
      <c r="V95" s="3"/>
      <c r="W95" s="3"/>
      <c r="X95" s="3"/>
      <c r="Y95" s="3"/>
      <c r="Z95" s="3"/>
      <c r="AA95" s="3"/>
      <c r="AB95" s="1"/>
      <c r="AD95" s="1"/>
      <c r="AF95" s="1"/>
      <c r="AG95" s="1"/>
    </row>
    <row r="96" spans="2:33" ht="15.75">
      <c r="B96" s="496"/>
      <c r="C96" s="497"/>
      <c r="D96" s="498"/>
      <c r="E96" s="321"/>
      <c r="F96" s="321"/>
      <c r="G96" s="321"/>
      <c r="H96" s="321"/>
      <c r="I96" s="323"/>
      <c r="J96" s="393"/>
      <c r="K96" s="580"/>
      <c r="L96" s="581"/>
      <c r="M96" s="582"/>
      <c r="N96" s="3"/>
      <c r="O96" s="78"/>
      <c r="P96" s="78"/>
      <c r="Q96" s="78"/>
      <c r="R96" s="3"/>
      <c r="S96" s="3"/>
      <c r="T96" s="3"/>
      <c r="U96" s="3"/>
      <c r="V96" s="3"/>
      <c r="W96" s="3"/>
      <c r="X96" s="3"/>
      <c r="Y96" s="3"/>
      <c r="Z96" s="3"/>
      <c r="AA96" s="3"/>
      <c r="AB96" s="1"/>
      <c r="AD96" s="1"/>
      <c r="AF96" s="1"/>
      <c r="AG96" s="1"/>
    </row>
    <row r="97" spans="2:34" ht="15.75">
      <c r="B97" s="496"/>
      <c r="C97" s="497"/>
      <c r="D97" s="498"/>
      <c r="E97" s="321"/>
      <c r="F97" s="321"/>
      <c r="G97" s="321"/>
      <c r="H97" s="321"/>
      <c r="I97" s="323"/>
      <c r="J97" s="393"/>
      <c r="K97" s="580"/>
      <c r="L97" s="581"/>
      <c r="M97" s="582"/>
      <c r="N97" s="3"/>
      <c r="O97" s="76"/>
      <c r="P97" s="78"/>
      <c r="Q97" s="78"/>
      <c r="R97" s="3"/>
      <c r="S97" s="3"/>
      <c r="T97" s="3"/>
      <c r="U97" s="3"/>
      <c r="V97" s="3"/>
      <c r="W97" s="3"/>
      <c r="X97" s="3"/>
      <c r="Y97" s="3"/>
      <c r="Z97" s="3"/>
      <c r="AA97" s="3"/>
      <c r="AB97" s="1"/>
      <c r="AD97" s="1"/>
      <c r="AF97" s="1"/>
      <c r="AG97" s="1"/>
    </row>
    <row r="98" spans="2:34" ht="15.75">
      <c r="B98" s="496"/>
      <c r="C98" s="497"/>
      <c r="D98" s="498"/>
      <c r="E98" s="321"/>
      <c r="F98" s="321"/>
      <c r="G98" s="321"/>
      <c r="H98" s="321"/>
      <c r="I98" s="323"/>
      <c r="J98" s="393"/>
      <c r="K98" s="580"/>
      <c r="L98" s="581"/>
      <c r="M98" s="582"/>
      <c r="N98" s="3"/>
      <c r="O98" s="78"/>
      <c r="P98" s="78"/>
      <c r="Q98" s="78"/>
      <c r="R98" s="3"/>
      <c r="S98" s="3"/>
      <c r="T98" s="3"/>
      <c r="U98" s="3"/>
      <c r="V98" s="3"/>
      <c r="W98" s="3"/>
      <c r="X98" s="3"/>
      <c r="Y98" s="3"/>
      <c r="Z98" s="3"/>
      <c r="AA98" s="3"/>
      <c r="AB98" s="1"/>
      <c r="AD98" s="1"/>
      <c r="AF98" s="1"/>
      <c r="AG98" s="1"/>
    </row>
    <row r="99" spans="2:34" ht="15.75">
      <c r="B99" s="496"/>
      <c r="C99" s="497"/>
      <c r="D99" s="498"/>
      <c r="E99" s="321"/>
      <c r="F99" s="321"/>
      <c r="G99" s="321"/>
      <c r="H99" s="321"/>
      <c r="I99" s="323"/>
      <c r="J99" s="393"/>
      <c r="K99" s="580"/>
      <c r="L99" s="581"/>
      <c r="M99" s="582"/>
      <c r="N99" s="3"/>
      <c r="O99" s="76"/>
      <c r="P99" s="78"/>
      <c r="Q99" s="78"/>
      <c r="R99" s="3"/>
      <c r="S99" s="3"/>
      <c r="T99" s="3"/>
      <c r="U99" s="3"/>
      <c r="V99" s="3"/>
      <c r="W99" s="3"/>
      <c r="X99" s="3"/>
      <c r="Y99" s="3"/>
      <c r="Z99" s="3"/>
      <c r="AA99" s="3"/>
      <c r="AB99" s="1"/>
      <c r="AD99" s="1"/>
      <c r="AF99" s="1"/>
      <c r="AG99" s="1"/>
    </row>
    <row r="100" spans="2:34" ht="15.75">
      <c r="B100" s="496"/>
      <c r="C100" s="497"/>
      <c r="D100" s="498"/>
      <c r="E100" s="321"/>
      <c r="F100" s="321"/>
      <c r="G100" s="321"/>
      <c r="H100" s="321"/>
      <c r="I100" s="323"/>
      <c r="J100" s="393"/>
      <c r="K100" s="583"/>
      <c r="L100" s="584"/>
      <c r="M100" s="585"/>
      <c r="N100" s="3"/>
      <c r="O100" s="78"/>
      <c r="P100" s="78"/>
      <c r="Q100" s="78"/>
      <c r="R100" s="3"/>
      <c r="S100" s="3"/>
      <c r="T100" s="3"/>
      <c r="U100" s="3"/>
      <c r="V100" s="3"/>
      <c r="W100" s="3"/>
      <c r="X100" s="3"/>
      <c r="Y100" s="3"/>
      <c r="Z100" s="3"/>
      <c r="AA100" s="3"/>
      <c r="AB100" s="1"/>
      <c r="AD100" s="1"/>
      <c r="AF100" s="1"/>
      <c r="AG100" s="1"/>
    </row>
    <row r="101" spans="2:34" ht="16.5" thickBot="1">
      <c r="B101" s="589"/>
      <c r="C101" s="590"/>
      <c r="D101" s="591"/>
      <c r="E101" s="448"/>
      <c r="F101" s="448"/>
      <c r="G101" s="448"/>
      <c r="H101" s="448"/>
      <c r="I101" s="449"/>
      <c r="J101" s="450"/>
      <c r="K101" s="586"/>
      <c r="L101" s="587"/>
      <c r="M101" s="588"/>
      <c r="N101" s="3"/>
      <c r="O101" s="76"/>
      <c r="P101" s="77"/>
      <c r="Q101" s="78"/>
      <c r="R101" s="3"/>
      <c r="S101" s="3"/>
      <c r="T101" s="3"/>
      <c r="U101" s="3"/>
      <c r="V101" s="3"/>
      <c r="W101" s="3"/>
      <c r="X101" s="3"/>
      <c r="Y101" s="3"/>
      <c r="Z101" s="3"/>
      <c r="AA101" s="3"/>
      <c r="AB101" s="3"/>
      <c r="AD101" s="1"/>
      <c r="AF101" s="1"/>
      <c r="AG101" s="1"/>
    </row>
    <row r="102" spans="2:34" ht="15.75">
      <c r="B102" s="69"/>
      <c r="C102" s="69"/>
      <c r="D102" s="69"/>
      <c r="E102" s="70"/>
      <c r="F102" s="70"/>
      <c r="G102" s="70"/>
      <c r="H102" s="70"/>
      <c r="I102" s="71"/>
      <c r="J102" s="72"/>
      <c r="K102" s="3"/>
      <c r="L102" s="3"/>
      <c r="M102" s="3"/>
      <c r="N102" s="3"/>
      <c r="O102" s="3"/>
      <c r="P102" s="3"/>
      <c r="Q102" s="3"/>
      <c r="R102" s="3"/>
      <c r="S102" s="3"/>
      <c r="T102" s="3"/>
      <c r="U102" s="3"/>
      <c r="V102" s="3"/>
      <c r="W102" s="3"/>
      <c r="X102" s="3"/>
      <c r="Y102" s="3"/>
      <c r="Z102" s="3"/>
      <c r="AA102" s="3"/>
      <c r="AB102" s="3"/>
      <c r="AD102" s="1"/>
      <c r="AF102" s="1"/>
      <c r="AG102" s="1"/>
    </row>
    <row r="103" spans="2:34" ht="15.75" hidden="1">
      <c r="B103" s="3"/>
      <c r="C103" s="3"/>
      <c r="D103" s="3"/>
      <c r="E103" s="73"/>
      <c r="F103" s="70"/>
      <c r="G103" s="70"/>
      <c r="H103" s="70"/>
      <c r="I103" s="74"/>
      <c r="J103" s="74"/>
      <c r="K103" s="71"/>
      <c r="L103" s="75"/>
      <c r="M103" s="76"/>
      <c r="N103" s="77"/>
      <c r="O103" s="78"/>
      <c r="P103" s="4"/>
      <c r="Q103" s="68"/>
      <c r="R103" s="3"/>
      <c r="S103" s="3"/>
      <c r="T103" s="3"/>
      <c r="U103" s="3"/>
      <c r="V103" s="3"/>
      <c r="W103" s="3"/>
      <c r="X103" s="3"/>
      <c r="Y103" s="3"/>
      <c r="Z103" s="3"/>
      <c r="AA103" s="3"/>
      <c r="AB103" s="3"/>
      <c r="AD103" s="1"/>
      <c r="AE103" s="1"/>
      <c r="AF103" s="1"/>
      <c r="AG103" s="1"/>
    </row>
    <row r="104" spans="2:34" ht="15.75" hidden="1">
      <c r="B104" s="3"/>
      <c r="C104" s="3"/>
      <c r="D104" s="3"/>
      <c r="E104" s="73"/>
      <c r="F104" s="70"/>
      <c r="G104" s="70"/>
      <c r="H104" s="70"/>
      <c r="I104" s="70"/>
      <c r="J104" s="74"/>
      <c r="K104" s="71"/>
      <c r="L104" s="75"/>
      <c r="M104" s="76"/>
      <c r="N104" s="77"/>
      <c r="O104" s="77"/>
      <c r="P104" s="78"/>
      <c r="Q104" s="3"/>
      <c r="R104" s="68"/>
      <c r="S104" s="3"/>
      <c r="T104" s="3"/>
      <c r="U104" s="3"/>
      <c r="V104" s="3"/>
      <c r="W104" s="3"/>
      <c r="X104" s="3"/>
      <c r="Y104" s="3"/>
      <c r="Z104" s="3"/>
      <c r="AA104" s="3"/>
      <c r="AB104" s="3"/>
      <c r="AC104" s="1"/>
      <c r="AE104" s="1"/>
      <c r="AG104" s="1"/>
    </row>
    <row r="105" spans="2:34" ht="15.75" hidden="1" customHeight="1">
      <c r="B105" s="603" t="s">
        <v>178</v>
      </c>
      <c r="C105" s="603"/>
      <c r="D105" s="105"/>
      <c r="E105" s="106"/>
      <c r="F105" s="106"/>
      <c r="G105" s="106"/>
      <c r="H105" s="106"/>
      <c r="I105" s="106"/>
      <c r="J105" s="106"/>
      <c r="K105" s="106"/>
      <c r="L105" s="106"/>
      <c r="M105" s="106"/>
      <c r="N105" s="78"/>
      <c r="O105" s="78"/>
      <c r="P105" s="78"/>
      <c r="Q105" s="78"/>
      <c r="R105" s="594" t="s">
        <v>40</v>
      </c>
      <c r="S105" s="594"/>
      <c r="T105" s="594"/>
      <c r="U105" s="592" t="s">
        <v>41</v>
      </c>
      <c r="V105" s="592"/>
      <c r="W105" s="592"/>
      <c r="X105" s="592"/>
      <c r="Y105" s="592"/>
      <c r="Z105" s="107"/>
      <c r="AA105" s="107"/>
      <c r="AB105" s="108"/>
      <c r="AC105" s="109"/>
      <c r="AD105" s="109"/>
      <c r="AE105" s="109"/>
      <c r="AF105" s="109"/>
      <c r="AG105" s="109"/>
      <c r="AH105" s="110"/>
    </row>
    <row r="106" spans="2:34" ht="29.25" hidden="1" customHeight="1" thickBot="1">
      <c r="B106" s="112"/>
      <c r="C106" s="111"/>
      <c r="D106" s="111"/>
      <c r="E106" s="112"/>
      <c r="F106" s="112"/>
      <c r="G106" s="112"/>
      <c r="H106" s="112"/>
      <c r="I106" s="112"/>
      <c r="J106" s="112"/>
      <c r="K106" s="112"/>
      <c r="L106" s="112"/>
      <c r="M106" s="112"/>
      <c r="N106" s="78"/>
      <c r="O106" s="78"/>
      <c r="P106" s="78"/>
      <c r="Q106" s="78"/>
      <c r="R106" s="595"/>
      <c r="S106" s="595"/>
      <c r="T106" s="595"/>
      <c r="U106" s="593"/>
      <c r="V106" s="593"/>
      <c r="W106" s="593"/>
      <c r="X106" s="593"/>
      <c r="Y106" s="593"/>
      <c r="Z106" s="107"/>
      <c r="AA106" s="107"/>
      <c r="AB106" s="109"/>
      <c r="AC106" s="114"/>
      <c r="AD106" s="114"/>
      <c r="AE106" s="114"/>
      <c r="AF106" s="477"/>
      <c r="AG106" s="114"/>
      <c r="AH106" s="478"/>
    </row>
    <row r="107" spans="2:34" ht="15.75" hidden="1">
      <c r="B107" s="257" t="s">
        <v>7</v>
      </c>
      <c r="C107" s="115"/>
      <c r="D107" s="115"/>
      <c r="E107" s="115" t="s">
        <v>8</v>
      </c>
      <c r="F107" s="116" t="s">
        <v>9</v>
      </c>
      <c r="G107" s="117" t="s">
        <v>10</v>
      </c>
      <c r="H107" s="117" t="s">
        <v>81</v>
      </c>
      <c r="I107" s="117" t="s">
        <v>11</v>
      </c>
      <c r="J107" s="117" t="s">
        <v>84</v>
      </c>
      <c r="K107" s="117" t="s">
        <v>12</v>
      </c>
      <c r="L107" s="117" t="s">
        <v>83</v>
      </c>
      <c r="M107" s="118" t="s">
        <v>80</v>
      </c>
      <c r="N107" s="76"/>
      <c r="O107" s="76"/>
      <c r="P107" s="76"/>
      <c r="Q107" s="76"/>
      <c r="R107" s="119" t="s">
        <v>18</v>
      </c>
      <c r="S107" s="120" t="s">
        <v>19</v>
      </c>
      <c r="T107" s="121" t="s">
        <v>19</v>
      </c>
      <c r="U107" s="122"/>
      <c r="V107" s="598" t="s">
        <v>20</v>
      </c>
      <c r="W107" s="599"/>
      <c r="X107" s="598" t="s">
        <v>21</v>
      </c>
      <c r="Y107" s="599"/>
      <c r="Z107" s="596" t="s">
        <v>139</v>
      </c>
      <c r="AA107" s="597"/>
      <c r="AB107" s="109"/>
      <c r="AC107" s="482" t="s">
        <v>0</v>
      </c>
      <c r="AD107" s="482" t="s">
        <v>1</v>
      </c>
      <c r="AE107" s="482" t="s">
        <v>45</v>
      </c>
      <c r="AF107" s="482" t="s">
        <v>3</v>
      </c>
      <c r="AG107" s="114" t="s">
        <v>33</v>
      </c>
      <c r="AH107" s="478"/>
    </row>
    <row r="108" spans="2:34" ht="32.25" hidden="1" thickBot="1">
      <c r="B108" s="258"/>
      <c r="C108" s="123"/>
      <c r="D108" s="123"/>
      <c r="E108" s="124" t="s">
        <v>13</v>
      </c>
      <c r="F108" s="125" t="s">
        <v>14</v>
      </c>
      <c r="G108" s="126" t="s">
        <v>15</v>
      </c>
      <c r="H108" s="126" t="s">
        <v>82</v>
      </c>
      <c r="I108" s="126" t="s">
        <v>16</v>
      </c>
      <c r="J108" s="126" t="s">
        <v>85</v>
      </c>
      <c r="K108" s="127" t="s">
        <v>86</v>
      </c>
      <c r="L108" s="126" t="s">
        <v>17</v>
      </c>
      <c r="M108" s="128" t="s">
        <v>17</v>
      </c>
      <c r="N108" s="76"/>
      <c r="O108" s="76"/>
      <c r="P108" s="76"/>
      <c r="Q108" s="76"/>
      <c r="R108" s="129" t="s">
        <v>30</v>
      </c>
      <c r="S108" s="113" t="s">
        <v>31</v>
      </c>
      <c r="T108" s="130" t="s">
        <v>32</v>
      </c>
      <c r="U108" s="131" t="s">
        <v>42</v>
      </c>
      <c r="V108" s="132" t="s">
        <v>43</v>
      </c>
      <c r="W108" s="133" t="s">
        <v>44</v>
      </c>
      <c r="X108" s="134" t="str">
        <f>+V108</f>
        <v>Electricity</v>
      </c>
      <c r="Y108" s="133" t="str">
        <f>+W108</f>
        <v>Total</v>
      </c>
      <c r="Z108" s="135" t="s">
        <v>140</v>
      </c>
      <c r="AA108" s="136" t="s">
        <v>141</v>
      </c>
      <c r="AB108" s="109"/>
      <c r="AC108" s="482" t="s">
        <v>2</v>
      </c>
      <c r="AD108" s="482" t="s">
        <v>2</v>
      </c>
      <c r="AE108" s="137"/>
      <c r="AF108" s="137"/>
      <c r="AG108" s="114" t="s">
        <v>34</v>
      </c>
      <c r="AH108" s="478"/>
    </row>
    <row r="109" spans="2:34" ht="15.75" hidden="1">
      <c r="B109" s="247" t="str">
        <f t="shared" ref="B109:B121" si="15">IF(B63="","",B63)</f>
        <v>Custom Fan 1</v>
      </c>
      <c r="C109" s="248"/>
      <c r="D109" s="249"/>
      <c r="E109" s="243">
        <f t="shared" ref="E109:E147" si="16">IF(B109="","",IF($H$9&gt;3.65,50,IF($H$9&gt;=3,37.5, IF($H$9&gt;=2.25,25,IF($H$9&gt;=1.5,12.5,0.05)))))</f>
        <v>37.5</v>
      </c>
      <c r="F109" s="138">
        <f t="shared" ref="F109:F147" si="17">IF(E109="","",IF($H$9&gt;3.65,H63,IF($H$9&gt;=3,G63, IF($H$9&gt;=2.25,F63,IF($H$9&gt;=1.5,E63,E63)))))</f>
        <v>0</v>
      </c>
      <c r="G109" s="139" t="e">
        <f t="shared" ref="G109:G147" si="18">+IF(B63="","",ROUNDUP(AF109/F109,0))</f>
        <v>#DIV/0!</v>
      </c>
      <c r="H109" s="140">
        <v>0</v>
      </c>
      <c r="I109" s="141" t="e">
        <f t="shared" ref="I109:I143" si="19">+IF(F109="","",IF(H109&gt;0,ROUND(F109*H109,-2),ROUND(F109*G109,-2)))</f>
        <v>#DIV/0!</v>
      </c>
      <c r="J109" s="142" t="e">
        <f t="shared" ref="J109:J147" si="20">+IF(I63="","",IF(H109&gt;0,ROUND((H109*(($F63)/(($I63)))/1000),1),ROUND((G109*(($F63)/(($I63)))/1000),1)))</f>
        <v>#DIV/0!</v>
      </c>
      <c r="K109" s="143" t="e">
        <f t="shared" ref="K109:K138" si="21">+IF(I63="","",IF(H109&gt;0,ROUND((H109*(($F63)/(($I63)))/1000*$H$8*$H$6),-1),ROUND((G109*(($F63)/(($I63)))/1000*$H$8*$H$6),-1)))+Z109</f>
        <v>#DIV/0!</v>
      </c>
      <c r="L109" s="144" t="e">
        <f t="shared" ref="L109:L147" si="22">+IF(I109="","",ROUND((I109/($C$7*($C$8+$C$9)/2)/3600),2))</f>
        <v>#DIV/0!</v>
      </c>
      <c r="M109" s="145" t="e">
        <f>IF(L109="","",IF(L109&gt;3.302,0.8676*3.302^2+0.0787*3.302-0.0034,0.8676*L109^2+0.0787*L109-0.0034))</f>
        <v>#DIV/0!</v>
      </c>
      <c r="N109" s="77"/>
      <c r="O109" s="77"/>
      <c r="P109" s="77"/>
      <c r="Q109" s="77"/>
      <c r="R109" s="146" t="e">
        <f t="shared" ref="R109:R147" si="23">+IF(B109="","",IF(H109&gt;0,H109*AG109/6858,G109*AG109/6858))</f>
        <v>#DIV/0!</v>
      </c>
      <c r="S109" s="147" t="e">
        <f t="shared" ref="S109:S147" si="24">+IF(B109="","",I109*0.00334)</f>
        <v>#DIV/0!</v>
      </c>
      <c r="T109" s="148" t="e">
        <f t="shared" ref="T109:T147" si="25">+IF(B109="","",I109*0.00631)</f>
        <v>#DIV/0!</v>
      </c>
      <c r="U109" s="149" t="e">
        <f t="shared" ref="U109:U147" si="26">IF(J63="","",IF(H109&gt;0,J63*H109,J63*G109))</f>
        <v>#DIV/0!</v>
      </c>
      <c r="V109" s="150" t="e">
        <f>+IF(K109="","",K109*5)</f>
        <v>#DIV/0!</v>
      </c>
      <c r="W109" s="151" t="e">
        <f>IF(U109="","",+U109+V109)</f>
        <v>#DIV/0!</v>
      </c>
      <c r="X109" s="152" t="e">
        <f>+IF(V109="","",V109*2)</f>
        <v>#DIV/0!</v>
      </c>
      <c r="Y109" s="153" t="e">
        <f>+IF(U109="","",X109+U109)</f>
        <v>#DIV/0!</v>
      </c>
      <c r="Z109" s="154" t="e">
        <f>(J109*$H$7)*5.5</f>
        <v>#DIV/0!</v>
      </c>
      <c r="AA109" s="155" t="e">
        <f>Z109*10</f>
        <v>#DIV/0!</v>
      </c>
      <c r="AB109" s="109"/>
      <c r="AC109" s="137">
        <f t="shared" ref="AC109:AC127" si="27">+IF(I63="","",IF(I63&gt;=37.38,4,IF(I63&gt;=35.68,3,IF(I63&gt;=33.98,2,IF(I63&gt;=32.28,1,0)))))</f>
        <v>0</v>
      </c>
      <c r="AD109" s="137">
        <f t="shared" ref="AD109:AD147" si="28">+IF(OR(H63="",E63=""),"",IF(N109&gt;0.82,4,IF(N109&gt;0.77,3,IF(N109&gt;0.72,2,IF(N109&gt;=0.7,1,0)))))</f>
        <v>0</v>
      </c>
      <c r="AE109" s="137">
        <f t="shared" ref="AE109:AE147" si="29">+($C$8+$C$9)/2*$C$7*$H$9*3600</f>
        <v>453600</v>
      </c>
      <c r="AF109" s="137">
        <f t="shared" ref="AF109:AF147" si="30">+IF(AE109&gt;$AF$106,AE109,$AF$106)</f>
        <v>453600</v>
      </c>
      <c r="AG109" s="156">
        <f t="shared" ref="AG109:AG124" si="31">IF($H$9&gt;3.556,G63,IF($H$9&gt;=3.048,F63, IF($H$9&gt;=2.286,E63,IF($H$9&gt;=1.524,E63,E63))))</f>
        <v>0</v>
      </c>
      <c r="AH109" s="478"/>
    </row>
    <row r="110" spans="2:34" ht="15.75" hidden="1">
      <c r="B110" s="238" t="str">
        <f t="shared" si="15"/>
        <v>Custom Fan 2</v>
      </c>
      <c r="C110" s="239"/>
      <c r="D110" s="250"/>
      <c r="E110" s="244">
        <f t="shared" si="16"/>
        <v>37.5</v>
      </c>
      <c r="F110" s="157">
        <f t="shared" si="17"/>
        <v>0</v>
      </c>
      <c r="G110" s="139" t="e">
        <f t="shared" si="18"/>
        <v>#DIV/0!</v>
      </c>
      <c r="H110" s="158">
        <v>0</v>
      </c>
      <c r="I110" s="159" t="e">
        <f t="shared" si="19"/>
        <v>#DIV/0!</v>
      </c>
      <c r="J110" s="160" t="e">
        <f t="shared" si="20"/>
        <v>#DIV/0!</v>
      </c>
      <c r="K110" s="143" t="e">
        <f t="shared" si="21"/>
        <v>#DIV/0!</v>
      </c>
      <c r="L110" s="161" t="e">
        <f t="shared" si="22"/>
        <v>#DIV/0!</v>
      </c>
      <c r="M110" s="162" t="e">
        <f t="shared" ref="M110:M147" si="32">IF(L110="","",IF(L110&gt;3.302,0.8676*3.302^2+0.0787*3.302-0.0034,0.8676*L110^2+0.0787*L110-0.0034))</f>
        <v>#DIV/0!</v>
      </c>
      <c r="N110" s="77"/>
      <c r="O110" s="77"/>
      <c r="P110" s="77"/>
      <c r="Q110" s="77"/>
      <c r="R110" s="146" t="e">
        <f t="shared" si="23"/>
        <v>#DIV/0!</v>
      </c>
      <c r="S110" s="163" t="e">
        <f t="shared" si="24"/>
        <v>#DIV/0!</v>
      </c>
      <c r="T110" s="164" t="e">
        <f t="shared" si="25"/>
        <v>#DIV/0!</v>
      </c>
      <c r="U110" s="149" t="e">
        <f t="shared" si="26"/>
        <v>#DIV/0!</v>
      </c>
      <c r="V110" s="165" t="e">
        <f t="shared" ref="V110:V143" si="33">+IF(K110="","",K110*5)</f>
        <v>#DIV/0!</v>
      </c>
      <c r="W110" s="166" t="e">
        <f t="shared" ref="W110:W143" si="34">IF(U110="","",+U110+V110)</f>
        <v>#DIV/0!</v>
      </c>
      <c r="X110" s="167" t="e">
        <f t="shared" ref="X110:X143" si="35">+IF(V110="","",V110*2)</f>
        <v>#DIV/0!</v>
      </c>
      <c r="Y110" s="168" t="e">
        <f t="shared" ref="Y110:Y143" si="36">+IF(U110="","",X110+U110)</f>
        <v>#DIV/0!</v>
      </c>
      <c r="Z110" s="169" t="e">
        <f t="shared" ref="Z110:Z147" si="37">(J110*$H$7)*5.5</f>
        <v>#DIV/0!</v>
      </c>
      <c r="AA110" s="170" t="e">
        <f t="shared" ref="AA110:AA147" si="38">Z110*10</f>
        <v>#DIV/0!</v>
      </c>
      <c r="AB110" s="109"/>
      <c r="AC110" s="137">
        <f t="shared" si="27"/>
        <v>0</v>
      </c>
      <c r="AD110" s="137">
        <f t="shared" si="28"/>
        <v>0</v>
      </c>
      <c r="AE110" s="137">
        <f t="shared" si="29"/>
        <v>453600</v>
      </c>
      <c r="AF110" s="137">
        <f t="shared" si="30"/>
        <v>453600</v>
      </c>
      <c r="AG110" s="156">
        <f t="shared" si="31"/>
        <v>0</v>
      </c>
      <c r="AH110" s="478"/>
    </row>
    <row r="111" spans="2:34" ht="15.75" hidden="1">
      <c r="B111" s="238" t="str">
        <f t="shared" si="15"/>
        <v>Custom Fan 3</v>
      </c>
      <c r="C111" s="239"/>
      <c r="D111" s="250"/>
      <c r="E111" s="244">
        <f t="shared" si="16"/>
        <v>37.5</v>
      </c>
      <c r="F111" s="157">
        <f t="shared" si="17"/>
        <v>0</v>
      </c>
      <c r="G111" s="139" t="e">
        <f t="shared" si="18"/>
        <v>#DIV/0!</v>
      </c>
      <c r="H111" s="158">
        <v>0</v>
      </c>
      <c r="I111" s="159" t="e">
        <f t="shared" si="19"/>
        <v>#DIV/0!</v>
      </c>
      <c r="J111" s="160" t="e">
        <f t="shared" si="20"/>
        <v>#DIV/0!</v>
      </c>
      <c r="K111" s="143" t="e">
        <f t="shared" si="21"/>
        <v>#DIV/0!</v>
      </c>
      <c r="L111" s="161" t="e">
        <f t="shared" si="22"/>
        <v>#DIV/0!</v>
      </c>
      <c r="M111" s="162" t="e">
        <f t="shared" si="32"/>
        <v>#DIV/0!</v>
      </c>
      <c r="N111" s="77"/>
      <c r="O111" s="77"/>
      <c r="P111" s="77"/>
      <c r="Q111" s="77"/>
      <c r="R111" s="146" t="e">
        <f t="shared" si="23"/>
        <v>#DIV/0!</v>
      </c>
      <c r="S111" s="163" t="e">
        <f t="shared" si="24"/>
        <v>#DIV/0!</v>
      </c>
      <c r="T111" s="164" t="e">
        <f t="shared" si="25"/>
        <v>#DIV/0!</v>
      </c>
      <c r="U111" s="149" t="e">
        <f t="shared" si="26"/>
        <v>#DIV/0!</v>
      </c>
      <c r="V111" s="165" t="e">
        <f t="shared" si="33"/>
        <v>#DIV/0!</v>
      </c>
      <c r="W111" s="166" t="e">
        <f t="shared" si="34"/>
        <v>#DIV/0!</v>
      </c>
      <c r="X111" s="167" t="e">
        <f t="shared" si="35"/>
        <v>#DIV/0!</v>
      </c>
      <c r="Y111" s="168" t="e">
        <f t="shared" si="36"/>
        <v>#DIV/0!</v>
      </c>
      <c r="Z111" s="169" t="e">
        <f t="shared" si="37"/>
        <v>#DIV/0!</v>
      </c>
      <c r="AA111" s="170" t="e">
        <f t="shared" si="38"/>
        <v>#DIV/0!</v>
      </c>
      <c r="AB111" s="109"/>
      <c r="AC111" s="137">
        <f t="shared" si="27"/>
        <v>0</v>
      </c>
      <c r="AD111" s="137">
        <f t="shared" si="28"/>
        <v>0</v>
      </c>
      <c r="AE111" s="137">
        <f t="shared" si="29"/>
        <v>453600</v>
      </c>
      <c r="AF111" s="137">
        <f t="shared" si="30"/>
        <v>453600</v>
      </c>
      <c r="AG111" s="156">
        <f t="shared" si="31"/>
        <v>0</v>
      </c>
      <c r="AH111" s="478"/>
    </row>
    <row r="112" spans="2:34" ht="15.75" hidden="1">
      <c r="B112" s="238" t="str">
        <f t="shared" si="15"/>
        <v>Custom Fan 4</v>
      </c>
      <c r="C112" s="239"/>
      <c r="D112" s="250"/>
      <c r="E112" s="244">
        <f t="shared" si="16"/>
        <v>37.5</v>
      </c>
      <c r="F112" s="157">
        <f t="shared" si="17"/>
        <v>0</v>
      </c>
      <c r="G112" s="139" t="e">
        <f t="shared" si="18"/>
        <v>#DIV/0!</v>
      </c>
      <c r="H112" s="158">
        <v>0</v>
      </c>
      <c r="I112" s="159" t="e">
        <f t="shared" si="19"/>
        <v>#DIV/0!</v>
      </c>
      <c r="J112" s="160" t="e">
        <f t="shared" si="20"/>
        <v>#DIV/0!</v>
      </c>
      <c r="K112" s="143" t="e">
        <f t="shared" si="21"/>
        <v>#DIV/0!</v>
      </c>
      <c r="L112" s="161" t="e">
        <f t="shared" si="22"/>
        <v>#DIV/0!</v>
      </c>
      <c r="M112" s="162" t="e">
        <f t="shared" si="32"/>
        <v>#DIV/0!</v>
      </c>
      <c r="N112" s="77"/>
      <c r="O112" s="77"/>
      <c r="P112" s="77"/>
      <c r="Q112" s="77"/>
      <c r="R112" s="146" t="e">
        <f t="shared" si="23"/>
        <v>#DIV/0!</v>
      </c>
      <c r="S112" s="163" t="e">
        <f t="shared" si="24"/>
        <v>#DIV/0!</v>
      </c>
      <c r="T112" s="164" t="e">
        <f t="shared" si="25"/>
        <v>#DIV/0!</v>
      </c>
      <c r="U112" s="149" t="e">
        <f t="shared" si="26"/>
        <v>#DIV/0!</v>
      </c>
      <c r="V112" s="165" t="e">
        <f t="shared" si="33"/>
        <v>#DIV/0!</v>
      </c>
      <c r="W112" s="166" t="e">
        <f t="shared" si="34"/>
        <v>#DIV/0!</v>
      </c>
      <c r="X112" s="167" t="e">
        <f t="shared" si="35"/>
        <v>#DIV/0!</v>
      </c>
      <c r="Y112" s="168" t="e">
        <f t="shared" si="36"/>
        <v>#DIV/0!</v>
      </c>
      <c r="Z112" s="169" t="e">
        <f t="shared" si="37"/>
        <v>#DIV/0!</v>
      </c>
      <c r="AA112" s="170" t="e">
        <f t="shared" si="38"/>
        <v>#DIV/0!</v>
      </c>
      <c r="AB112" s="109"/>
      <c r="AC112" s="137">
        <f t="shared" si="27"/>
        <v>0</v>
      </c>
      <c r="AD112" s="137">
        <f t="shared" si="28"/>
        <v>0</v>
      </c>
      <c r="AE112" s="137">
        <f t="shared" si="29"/>
        <v>453600</v>
      </c>
      <c r="AF112" s="137">
        <f t="shared" si="30"/>
        <v>453600</v>
      </c>
      <c r="AG112" s="156">
        <f t="shared" si="31"/>
        <v>0</v>
      </c>
      <c r="AH112" s="478"/>
    </row>
    <row r="113" spans="2:34" ht="15.75" hidden="1">
      <c r="B113" s="238" t="str">
        <f t="shared" si="15"/>
        <v>Custom Fan 5</v>
      </c>
      <c r="C113" s="239"/>
      <c r="D113" s="250"/>
      <c r="E113" s="244">
        <f t="shared" si="16"/>
        <v>37.5</v>
      </c>
      <c r="F113" s="157">
        <f t="shared" si="17"/>
        <v>0</v>
      </c>
      <c r="G113" s="139" t="e">
        <f t="shared" si="18"/>
        <v>#DIV/0!</v>
      </c>
      <c r="H113" s="158">
        <v>0</v>
      </c>
      <c r="I113" s="159" t="e">
        <f t="shared" si="19"/>
        <v>#DIV/0!</v>
      </c>
      <c r="J113" s="160" t="e">
        <f t="shared" si="20"/>
        <v>#DIV/0!</v>
      </c>
      <c r="K113" s="143" t="e">
        <f t="shared" si="21"/>
        <v>#DIV/0!</v>
      </c>
      <c r="L113" s="161" t="e">
        <f t="shared" si="22"/>
        <v>#DIV/0!</v>
      </c>
      <c r="M113" s="162" t="e">
        <f t="shared" si="32"/>
        <v>#DIV/0!</v>
      </c>
      <c r="N113" s="77"/>
      <c r="O113" s="77"/>
      <c r="P113" s="77"/>
      <c r="Q113" s="77"/>
      <c r="R113" s="146" t="e">
        <f t="shared" si="23"/>
        <v>#DIV/0!</v>
      </c>
      <c r="S113" s="163" t="e">
        <f t="shared" si="24"/>
        <v>#DIV/0!</v>
      </c>
      <c r="T113" s="164" t="e">
        <f t="shared" si="25"/>
        <v>#DIV/0!</v>
      </c>
      <c r="U113" s="149" t="e">
        <f t="shared" si="26"/>
        <v>#DIV/0!</v>
      </c>
      <c r="V113" s="165" t="e">
        <f t="shared" si="33"/>
        <v>#DIV/0!</v>
      </c>
      <c r="W113" s="166" t="e">
        <f t="shared" si="34"/>
        <v>#DIV/0!</v>
      </c>
      <c r="X113" s="167" t="e">
        <f t="shared" si="35"/>
        <v>#DIV/0!</v>
      </c>
      <c r="Y113" s="168" t="e">
        <f t="shared" si="36"/>
        <v>#DIV/0!</v>
      </c>
      <c r="Z113" s="169" t="e">
        <f t="shared" si="37"/>
        <v>#DIV/0!</v>
      </c>
      <c r="AA113" s="170" t="e">
        <f t="shared" si="38"/>
        <v>#DIV/0!</v>
      </c>
      <c r="AB113" s="109"/>
      <c r="AC113" s="137">
        <f t="shared" si="27"/>
        <v>0</v>
      </c>
      <c r="AD113" s="137">
        <f t="shared" si="28"/>
        <v>0</v>
      </c>
      <c r="AE113" s="137">
        <f t="shared" si="29"/>
        <v>453600</v>
      </c>
      <c r="AF113" s="137">
        <f t="shared" si="30"/>
        <v>453600</v>
      </c>
      <c r="AG113" s="156">
        <f t="shared" si="31"/>
        <v>0</v>
      </c>
      <c r="AH113" s="478"/>
    </row>
    <row r="114" spans="2:34" ht="15.75" hidden="1">
      <c r="B114" s="240" t="str">
        <f t="shared" si="15"/>
        <v>Hired Hand 6603-7403 52" (60Hz) CONE 1hp</v>
      </c>
      <c r="C114" s="241"/>
      <c r="D114" s="251"/>
      <c r="E114" s="244">
        <f t="shared" si="16"/>
        <v>37.5</v>
      </c>
      <c r="F114" s="157">
        <f t="shared" si="17"/>
        <v>40946</v>
      </c>
      <c r="G114" s="139">
        <f t="shared" si="18"/>
        <v>12</v>
      </c>
      <c r="H114" s="158">
        <f>IF(B$19=B114,E$19,IF(B$20=B114,E$20,IF(B$21=B114,E$21,IF(B$22=B114,E$22,IF(B$24=B114,E$24,0)))))</f>
        <v>0</v>
      </c>
      <c r="I114" s="159">
        <f t="shared" si="19"/>
        <v>491400</v>
      </c>
      <c r="J114" s="160">
        <f t="shared" si="20"/>
        <v>15</v>
      </c>
      <c r="K114" s="143">
        <f t="shared" si="21"/>
        <v>6760</v>
      </c>
      <c r="L114" s="161">
        <f t="shared" si="22"/>
        <v>3.25</v>
      </c>
      <c r="M114" s="162">
        <f t="shared" si="32"/>
        <v>9.4164000000000012</v>
      </c>
      <c r="N114" s="77"/>
      <c r="O114" s="77"/>
      <c r="P114" s="77"/>
      <c r="Q114" s="77"/>
      <c r="R114" s="146">
        <f t="shared" si="23"/>
        <v>81.457567804024492</v>
      </c>
      <c r="S114" s="163">
        <f t="shared" si="24"/>
        <v>1641.2760000000001</v>
      </c>
      <c r="T114" s="164">
        <f t="shared" si="25"/>
        <v>3100.7339999999999</v>
      </c>
      <c r="U114" s="149">
        <f t="shared" si="26"/>
        <v>13596</v>
      </c>
      <c r="V114" s="165">
        <f t="shared" si="33"/>
        <v>33800</v>
      </c>
      <c r="W114" s="166">
        <f t="shared" si="34"/>
        <v>47396</v>
      </c>
      <c r="X114" s="167">
        <f t="shared" si="35"/>
        <v>67600</v>
      </c>
      <c r="Y114" s="168">
        <f t="shared" si="36"/>
        <v>81196</v>
      </c>
      <c r="Z114" s="169">
        <f t="shared" si="37"/>
        <v>990</v>
      </c>
      <c r="AA114" s="170">
        <f t="shared" si="38"/>
        <v>9900</v>
      </c>
      <c r="AB114" s="109"/>
      <c r="AC114" s="137">
        <f t="shared" si="27"/>
        <v>2</v>
      </c>
      <c r="AD114" s="137">
        <f t="shared" si="28"/>
        <v>0</v>
      </c>
      <c r="AE114" s="137">
        <f t="shared" si="29"/>
        <v>453600</v>
      </c>
      <c r="AF114" s="137">
        <f t="shared" si="30"/>
        <v>453600</v>
      </c>
      <c r="AG114" s="156">
        <f t="shared" si="31"/>
        <v>46553</v>
      </c>
      <c r="AH114" s="478"/>
    </row>
    <row r="115" spans="2:34" ht="15.75" hidden="1">
      <c r="B115" s="240" t="str">
        <f t="shared" si="15"/>
        <v>Hired Hand 6603-6527 52.5" - Butterfly damper (60Hz) CONE 1hp</v>
      </c>
      <c r="C115" s="241"/>
      <c r="D115" s="251"/>
      <c r="E115" s="244">
        <f t="shared" si="16"/>
        <v>37.5</v>
      </c>
      <c r="F115" s="157">
        <f t="shared" si="17"/>
        <v>39925</v>
      </c>
      <c r="G115" s="139">
        <f t="shared" si="18"/>
        <v>12</v>
      </c>
      <c r="H115" s="158">
        <f t="shared" ref="H115:H147" si="39">IF(B$19=B115,E$19,IF(B$20=B115,E$20,IF(B$21=B115,E$21,IF(B$22=B115,E$22,IF(B$24=B115,E$24,0)))))</f>
        <v>0</v>
      </c>
      <c r="I115" s="159">
        <f t="shared" si="19"/>
        <v>479100</v>
      </c>
      <c r="J115" s="160">
        <f t="shared" si="20"/>
        <v>16</v>
      </c>
      <c r="K115" s="143">
        <f t="shared" si="21"/>
        <v>7216</v>
      </c>
      <c r="L115" s="161">
        <f t="shared" si="22"/>
        <v>3.17</v>
      </c>
      <c r="M115" s="162">
        <f t="shared" si="32"/>
        <v>8.9645046400000012</v>
      </c>
      <c r="N115" s="77"/>
      <c r="O115" s="77"/>
      <c r="P115" s="77"/>
      <c r="Q115" s="77"/>
      <c r="R115" s="146">
        <f t="shared" si="23"/>
        <v>81.749781277340333</v>
      </c>
      <c r="S115" s="163">
        <f t="shared" si="24"/>
        <v>1600.194</v>
      </c>
      <c r="T115" s="164">
        <f t="shared" si="25"/>
        <v>3023.1209999999996</v>
      </c>
      <c r="U115" s="149">
        <f t="shared" si="26"/>
        <v>14379.84</v>
      </c>
      <c r="V115" s="165">
        <f t="shared" si="33"/>
        <v>36080</v>
      </c>
      <c r="W115" s="166">
        <f t="shared" si="34"/>
        <v>50459.839999999997</v>
      </c>
      <c r="X115" s="167">
        <f t="shared" si="35"/>
        <v>72160</v>
      </c>
      <c r="Y115" s="168">
        <f t="shared" si="36"/>
        <v>86539.839999999997</v>
      </c>
      <c r="Z115" s="169">
        <f t="shared" si="37"/>
        <v>1056</v>
      </c>
      <c r="AA115" s="170">
        <f t="shared" si="38"/>
        <v>10560</v>
      </c>
      <c r="AB115" s="109"/>
      <c r="AC115" s="137">
        <f t="shared" si="27"/>
        <v>1</v>
      </c>
      <c r="AD115" s="137">
        <f t="shared" si="28"/>
        <v>0</v>
      </c>
      <c r="AE115" s="137">
        <f t="shared" si="29"/>
        <v>453600</v>
      </c>
      <c r="AF115" s="137">
        <f t="shared" si="30"/>
        <v>453600</v>
      </c>
      <c r="AG115" s="156">
        <f t="shared" si="31"/>
        <v>46720</v>
      </c>
      <c r="AH115" s="478"/>
    </row>
    <row r="116" spans="2:34" ht="15.75" hidden="1">
      <c r="B116" s="240" t="str">
        <f t="shared" si="15"/>
        <v>Hired Hand 6603-3000 52.5" - CONE 1.5hp</v>
      </c>
      <c r="C116" s="241"/>
      <c r="D116" s="251"/>
      <c r="E116" s="244">
        <f t="shared" si="16"/>
        <v>37.5</v>
      </c>
      <c r="F116" s="157">
        <f t="shared" si="17"/>
        <v>37038</v>
      </c>
      <c r="G116" s="139">
        <f t="shared" si="18"/>
        <v>13</v>
      </c>
      <c r="H116" s="158">
        <f t="shared" si="39"/>
        <v>0</v>
      </c>
      <c r="I116" s="159">
        <f t="shared" si="19"/>
        <v>481500</v>
      </c>
      <c r="J116" s="160">
        <f t="shared" si="20"/>
        <v>16</v>
      </c>
      <c r="K116" s="143">
        <f t="shared" si="21"/>
        <v>7236</v>
      </c>
      <c r="L116" s="161">
        <f t="shared" si="22"/>
        <v>3.18</v>
      </c>
      <c r="M116" s="162">
        <f t="shared" si="32"/>
        <v>9.0203842400000021</v>
      </c>
      <c r="N116" s="77"/>
      <c r="O116" s="77"/>
      <c r="P116" s="77"/>
      <c r="Q116" s="77"/>
      <c r="R116" s="146">
        <f t="shared" si="23"/>
        <v>82.771216097987747</v>
      </c>
      <c r="S116" s="163">
        <f t="shared" si="24"/>
        <v>1608.21</v>
      </c>
      <c r="T116" s="164">
        <f t="shared" si="25"/>
        <v>3038.2649999999999</v>
      </c>
      <c r="U116" s="149">
        <f t="shared" si="26"/>
        <v>20047.170000000002</v>
      </c>
      <c r="V116" s="165">
        <f t="shared" si="33"/>
        <v>36180</v>
      </c>
      <c r="W116" s="166">
        <f t="shared" si="34"/>
        <v>56227.17</v>
      </c>
      <c r="X116" s="167">
        <f t="shared" si="35"/>
        <v>72360</v>
      </c>
      <c r="Y116" s="168">
        <f t="shared" si="36"/>
        <v>92407.17</v>
      </c>
      <c r="Z116" s="169">
        <f t="shared" si="37"/>
        <v>1056</v>
      </c>
      <c r="AA116" s="170">
        <f t="shared" si="38"/>
        <v>10560</v>
      </c>
      <c r="AB116" s="109"/>
      <c r="AC116" s="137">
        <f t="shared" si="27"/>
        <v>1</v>
      </c>
      <c r="AD116" s="137">
        <f t="shared" si="28"/>
        <v>0</v>
      </c>
      <c r="AE116" s="137">
        <f t="shared" si="29"/>
        <v>453600</v>
      </c>
      <c r="AF116" s="137">
        <f t="shared" si="30"/>
        <v>453600</v>
      </c>
      <c r="AG116" s="156">
        <f t="shared" si="31"/>
        <v>43665</v>
      </c>
      <c r="AH116" s="478"/>
    </row>
    <row r="117" spans="2:34" ht="15.75" hidden="1">
      <c r="B117" s="240" t="str">
        <f t="shared" si="15"/>
        <v>Hired Hand 6603-8010 54" - CONE 1.5hp</v>
      </c>
      <c r="C117" s="241"/>
      <c r="D117" s="251"/>
      <c r="E117" s="244">
        <f t="shared" si="16"/>
        <v>37.5</v>
      </c>
      <c r="F117" s="157">
        <f t="shared" si="17"/>
        <v>39417</v>
      </c>
      <c r="G117" s="139">
        <f t="shared" si="18"/>
        <v>12</v>
      </c>
      <c r="H117" s="158">
        <f t="shared" si="39"/>
        <v>0</v>
      </c>
      <c r="I117" s="159">
        <f t="shared" si="19"/>
        <v>473000</v>
      </c>
      <c r="J117" s="160">
        <f t="shared" si="20"/>
        <v>12.4</v>
      </c>
      <c r="K117" s="143">
        <f t="shared" si="21"/>
        <v>5618.4</v>
      </c>
      <c r="L117" s="161">
        <f t="shared" si="22"/>
        <v>3.13</v>
      </c>
      <c r="M117" s="162">
        <f t="shared" si="32"/>
        <v>8.7427214400000004</v>
      </c>
      <c r="N117" s="77"/>
      <c r="O117" s="77"/>
      <c r="P117" s="77"/>
      <c r="Q117" s="77"/>
      <c r="R117" s="146">
        <f t="shared" si="23"/>
        <v>79.375328083989501</v>
      </c>
      <c r="S117" s="163">
        <f t="shared" si="24"/>
        <v>1579.82</v>
      </c>
      <c r="T117" s="164">
        <f t="shared" si="25"/>
        <v>2984.6299999999997</v>
      </c>
      <c r="U117" s="149">
        <f t="shared" si="26"/>
        <v>17568</v>
      </c>
      <c r="V117" s="165">
        <f t="shared" si="33"/>
        <v>28092</v>
      </c>
      <c r="W117" s="166">
        <f t="shared" si="34"/>
        <v>45660</v>
      </c>
      <c r="X117" s="167">
        <f t="shared" si="35"/>
        <v>56184</v>
      </c>
      <c r="Y117" s="168">
        <f t="shared" si="36"/>
        <v>73752</v>
      </c>
      <c r="Z117" s="169">
        <f t="shared" si="37"/>
        <v>818.40000000000009</v>
      </c>
      <c r="AA117" s="170">
        <f t="shared" si="38"/>
        <v>8184.0000000000009</v>
      </c>
      <c r="AB117" s="109"/>
      <c r="AC117" s="137">
        <f t="shared" si="27"/>
        <v>4</v>
      </c>
      <c r="AD117" s="137">
        <f t="shared" si="28"/>
        <v>0</v>
      </c>
      <c r="AE117" s="137">
        <f t="shared" si="29"/>
        <v>453600</v>
      </c>
      <c r="AF117" s="137">
        <f t="shared" si="30"/>
        <v>453600</v>
      </c>
      <c r="AG117" s="156">
        <f t="shared" si="31"/>
        <v>45363</v>
      </c>
      <c r="AH117" s="478"/>
    </row>
    <row r="118" spans="2:34" ht="15.75" hidden="1">
      <c r="B118" s="240" t="str">
        <f t="shared" si="15"/>
        <v>Munters Euroemme EM50 - 1hp</v>
      </c>
      <c r="C118" s="241"/>
      <c r="D118" s="251"/>
      <c r="E118" s="244">
        <f t="shared" si="16"/>
        <v>37.5</v>
      </c>
      <c r="F118" s="157">
        <f t="shared" si="17"/>
        <v>27713</v>
      </c>
      <c r="G118" s="139">
        <f t="shared" si="18"/>
        <v>17</v>
      </c>
      <c r="H118" s="158">
        <f t="shared" si="39"/>
        <v>0</v>
      </c>
      <c r="I118" s="159">
        <f t="shared" si="19"/>
        <v>471100</v>
      </c>
      <c r="J118" s="160">
        <f t="shared" si="20"/>
        <v>19.7</v>
      </c>
      <c r="K118" s="143">
        <f t="shared" si="21"/>
        <v>8920.2000000000007</v>
      </c>
      <c r="L118" s="161">
        <f t="shared" si="22"/>
        <v>3.12</v>
      </c>
      <c r="M118" s="162">
        <f t="shared" si="32"/>
        <v>8.6877094400000026</v>
      </c>
      <c r="N118" s="77"/>
      <c r="O118" s="77"/>
      <c r="P118" s="77"/>
      <c r="Q118" s="77"/>
      <c r="R118" s="146">
        <f t="shared" si="23"/>
        <v>81.747739865850107</v>
      </c>
      <c r="S118" s="163">
        <f t="shared" si="24"/>
        <v>1573.4739999999999</v>
      </c>
      <c r="T118" s="164">
        <f t="shared" si="25"/>
        <v>2972.6409999999996</v>
      </c>
      <c r="U118" s="149">
        <f t="shared" si="26"/>
        <v>15436</v>
      </c>
      <c r="V118" s="165">
        <f t="shared" si="33"/>
        <v>44601</v>
      </c>
      <c r="W118" s="166">
        <f t="shared" si="34"/>
        <v>60037</v>
      </c>
      <c r="X118" s="167">
        <f t="shared" si="35"/>
        <v>89202</v>
      </c>
      <c r="Y118" s="168">
        <f t="shared" si="36"/>
        <v>104638</v>
      </c>
      <c r="Z118" s="169">
        <f t="shared" si="37"/>
        <v>1300.1999999999998</v>
      </c>
      <c r="AA118" s="170">
        <f t="shared" si="38"/>
        <v>13001.999999999998</v>
      </c>
      <c r="AB118" s="109"/>
      <c r="AC118" s="137">
        <f t="shared" si="27"/>
        <v>0</v>
      </c>
      <c r="AD118" s="137">
        <f t="shared" si="28"/>
        <v>0</v>
      </c>
      <c r="AE118" s="137">
        <f t="shared" si="29"/>
        <v>453600</v>
      </c>
      <c r="AF118" s="137">
        <f t="shared" si="30"/>
        <v>453600</v>
      </c>
      <c r="AG118" s="156">
        <f t="shared" si="31"/>
        <v>32978</v>
      </c>
      <c r="AH118" s="478"/>
    </row>
    <row r="119" spans="2:34" ht="15.75" hidden="1">
      <c r="B119" s="240" t="str">
        <f t="shared" si="15"/>
        <v>Munters Euroemme EM50 - 1.5hp</v>
      </c>
      <c r="C119" s="241"/>
      <c r="D119" s="251"/>
      <c r="E119" s="244">
        <f t="shared" si="16"/>
        <v>37.5</v>
      </c>
      <c r="F119" s="157">
        <f t="shared" si="17"/>
        <v>36028</v>
      </c>
      <c r="G119" s="139">
        <f t="shared" si="18"/>
        <v>13</v>
      </c>
      <c r="H119" s="158">
        <f t="shared" si="39"/>
        <v>0</v>
      </c>
      <c r="I119" s="159">
        <f t="shared" si="19"/>
        <v>468400</v>
      </c>
      <c r="J119" s="160">
        <f t="shared" si="20"/>
        <v>22.9</v>
      </c>
      <c r="K119" s="143">
        <f t="shared" si="21"/>
        <v>10331.4</v>
      </c>
      <c r="L119" s="161">
        <f t="shared" si="22"/>
        <v>3.1</v>
      </c>
      <c r="M119" s="162">
        <f t="shared" si="32"/>
        <v>8.5782060000000016</v>
      </c>
      <c r="N119" s="77"/>
      <c r="O119" s="77"/>
      <c r="P119" s="77"/>
      <c r="Q119" s="77"/>
      <c r="R119" s="146">
        <f t="shared" si="23"/>
        <v>75.90347039953339</v>
      </c>
      <c r="S119" s="163">
        <f t="shared" si="24"/>
        <v>1564.4560000000001</v>
      </c>
      <c r="T119" s="164">
        <f t="shared" si="25"/>
        <v>2955.6039999999998</v>
      </c>
      <c r="U119" s="149">
        <f t="shared" si="26"/>
        <v>12106.25</v>
      </c>
      <c r="V119" s="165">
        <f t="shared" si="33"/>
        <v>51657</v>
      </c>
      <c r="W119" s="166">
        <f t="shared" si="34"/>
        <v>63763.25</v>
      </c>
      <c r="X119" s="167">
        <f t="shared" si="35"/>
        <v>103314</v>
      </c>
      <c r="Y119" s="168">
        <f t="shared" si="36"/>
        <v>115420.25</v>
      </c>
      <c r="Z119" s="169">
        <f t="shared" si="37"/>
        <v>1511.3999999999996</v>
      </c>
      <c r="AA119" s="170">
        <f t="shared" si="38"/>
        <v>15113.999999999996</v>
      </c>
      <c r="AB119" s="109"/>
      <c r="AC119" s="137">
        <f t="shared" si="27"/>
        <v>0</v>
      </c>
      <c r="AD119" s="137">
        <f t="shared" si="28"/>
        <v>0</v>
      </c>
      <c r="AE119" s="137">
        <f t="shared" si="29"/>
        <v>453600</v>
      </c>
      <c r="AF119" s="137">
        <f t="shared" si="30"/>
        <v>453600</v>
      </c>
      <c r="AG119" s="156">
        <f t="shared" si="31"/>
        <v>40042</v>
      </c>
      <c r="AH119" s="478"/>
    </row>
    <row r="120" spans="2:34" ht="15.75" hidden="1">
      <c r="B120" s="240" t="str">
        <f t="shared" si="15"/>
        <v>Munters Euroemme  EC-50 (60Hz, 1 phase) CONE 1hp</v>
      </c>
      <c r="C120" s="241"/>
      <c r="D120" s="251"/>
      <c r="E120" s="244">
        <f t="shared" si="16"/>
        <v>37.5</v>
      </c>
      <c r="F120" s="157">
        <f t="shared" si="17"/>
        <v>32640</v>
      </c>
      <c r="G120" s="139">
        <f t="shared" si="18"/>
        <v>14</v>
      </c>
      <c r="H120" s="158">
        <f t="shared" si="39"/>
        <v>0</v>
      </c>
      <c r="I120" s="159">
        <f t="shared" si="19"/>
        <v>457000</v>
      </c>
      <c r="J120" s="160">
        <f t="shared" si="20"/>
        <v>14.9</v>
      </c>
      <c r="K120" s="143">
        <f t="shared" si="21"/>
        <v>6733.4</v>
      </c>
      <c r="L120" s="161">
        <f t="shared" si="22"/>
        <v>3.02</v>
      </c>
      <c r="M120" s="162">
        <f t="shared" si="32"/>
        <v>8.1471330400000017</v>
      </c>
      <c r="N120" s="77"/>
      <c r="O120" s="77"/>
      <c r="P120" s="77"/>
      <c r="Q120" s="77"/>
      <c r="R120" s="146">
        <f t="shared" si="23"/>
        <v>78.778069407990671</v>
      </c>
      <c r="S120" s="163">
        <f t="shared" si="24"/>
        <v>1526.38</v>
      </c>
      <c r="T120" s="164">
        <f t="shared" si="25"/>
        <v>2883.6699999999996</v>
      </c>
      <c r="U120" s="149">
        <f t="shared" si="26"/>
        <v>15414</v>
      </c>
      <c r="V120" s="165">
        <f t="shared" si="33"/>
        <v>33667</v>
      </c>
      <c r="W120" s="166">
        <f t="shared" si="34"/>
        <v>49081</v>
      </c>
      <c r="X120" s="167">
        <f t="shared" si="35"/>
        <v>67334</v>
      </c>
      <c r="Y120" s="168">
        <f t="shared" si="36"/>
        <v>82748</v>
      </c>
      <c r="Z120" s="169">
        <f t="shared" si="37"/>
        <v>983.40000000000009</v>
      </c>
      <c r="AA120" s="170">
        <f t="shared" si="38"/>
        <v>9834</v>
      </c>
      <c r="AB120" s="109"/>
      <c r="AC120" s="137">
        <f t="shared" si="27"/>
        <v>1</v>
      </c>
      <c r="AD120" s="137">
        <f t="shared" si="28"/>
        <v>0</v>
      </c>
      <c r="AE120" s="137">
        <f t="shared" si="29"/>
        <v>453600</v>
      </c>
      <c r="AF120" s="137">
        <f t="shared" si="30"/>
        <v>453600</v>
      </c>
      <c r="AG120" s="156">
        <f t="shared" si="31"/>
        <v>38590</v>
      </c>
      <c r="AH120" s="478"/>
    </row>
    <row r="121" spans="2:34" ht="15.75" hidden="1">
      <c r="B121" s="240" t="str">
        <f t="shared" si="15"/>
        <v>Munters Euroemme  EC-50 CONE 1.5hp</v>
      </c>
      <c r="C121" s="241"/>
      <c r="D121" s="251"/>
      <c r="E121" s="244">
        <f t="shared" si="16"/>
        <v>37.5</v>
      </c>
      <c r="F121" s="157">
        <f t="shared" si="17"/>
        <v>40450.726029558697</v>
      </c>
      <c r="G121" s="139">
        <f t="shared" si="18"/>
        <v>12</v>
      </c>
      <c r="H121" s="158">
        <f t="shared" si="39"/>
        <v>0</v>
      </c>
      <c r="I121" s="159">
        <f t="shared" si="19"/>
        <v>485400</v>
      </c>
      <c r="J121" s="160">
        <f t="shared" si="20"/>
        <v>19.100000000000001</v>
      </c>
      <c r="K121" s="143">
        <f t="shared" si="21"/>
        <v>8620.6</v>
      </c>
      <c r="L121" s="161">
        <f t="shared" si="22"/>
        <v>3.21</v>
      </c>
      <c r="M121" s="162">
        <f t="shared" si="32"/>
        <v>9.1890641600000009</v>
      </c>
      <c r="N121" s="77"/>
      <c r="O121" s="77"/>
      <c r="P121" s="77"/>
      <c r="Q121" s="77"/>
      <c r="R121" s="146">
        <f t="shared" si="23"/>
        <v>77.69276116509748</v>
      </c>
      <c r="S121" s="163">
        <f t="shared" si="24"/>
        <v>1621.2360000000001</v>
      </c>
      <c r="T121" s="164">
        <f t="shared" si="25"/>
        <v>3062.8739999999998</v>
      </c>
      <c r="U121" s="149">
        <f t="shared" si="26"/>
        <v>13452</v>
      </c>
      <c r="V121" s="165">
        <f t="shared" si="33"/>
        <v>43103</v>
      </c>
      <c r="W121" s="166">
        <f t="shared" si="34"/>
        <v>56555</v>
      </c>
      <c r="X121" s="167">
        <f t="shared" si="35"/>
        <v>86206</v>
      </c>
      <c r="Y121" s="168">
        <f t="shared" si="36"/>
        <v>99658</v>
      </c>
      <c r="Z121" s="169">
        <f t="shared" si="37"/>
        <v>1260.6000000000001</v>
      </c>
      <c r="AA121" s="170">
        <f t="shared" si="38"/>
        <v>12606.000000000002</v>
      </c>
      <c r="AB121" s="109"/>
      <c r="AC121" s="137">
        <f t="shared" si="27"/>
        <v>0</v>
      </c>
      <c r="AD121" s="137">
        <f t="shared" si="28"/>
        <v>0</v>
      </c>
      <c r="AE121" s="137">
        <f t="shared" si="29"/>
        <v>453600</v>
      </c>
      <c r="AF121" s="137">
        <f t="shared" si="30"/>
        <v>453600</v>
      </c>
      <c r="AG121" s="156">
        <f t="shared" si="31"/>
        <v>44401.413005853203</v>
      </c>
      <c r="AH121" s="478"/>
    </row>
    <row r="122" spans="2:34" ht="15.75" hidden="1">
      <c r="B122" s="240" t="s">
        <v>198</v>
      </c>
      <c r="C122" s="240"/>
      <c r="D122" s="240"/>
      <c r="E122" s="244">
        <f>IF(B122="","",IF($H$9&gt;3.65,50,IF($H$9&gt;=3,37.5, IF($H$9&gt;=2.25,25,IF($H$9&gt;=1.5,12.5,0.05)))))</f>
        <v>37.5</v>
      </c>
      <c r="F122" s="157">
        <f t="shared" si="17"/>
        <v>36900</v>
      </c>
      <c r="G122" s="139">
        <f t="shared" si="18"/>
        <v>13</v>
      </c>
      <c r="H122" s="158">
        <f>IF(B$19=B122,E$19,IF(B$20=B122,E$20,IF(B$21=B122,E$21,IF(B$22=B122,E$22,IF(B$24=B122,E$24,0)))))</f>
        <v>0</v>
      </c>
      <c r="I122" s="159">
        <f>+IF(F122="","",IF(H122&gt;0,ROUND(F122*H122,-2),ROUND(F122*G122,-2)))</f>
        <v>479700</v>
      </c>
      <c r="J122" s="160">
        <f t="shared" si="20"/>
        <v>14.5</v>
      </c>
      <c r="K122" s="143">
        <f t="shared" si="21"/>
        <v>6557</v>
      </c>
      <c r="L122" s="161">
        <f>+IF(I122="","",ROUND((I122/($C$7*($C$8+$C$9)/2)/3600),2))</f>
        <v>3.17</v>
      </c>
      <c r="M122" s="162">
        <f t="shared" si="32"/>
        <v>8.9645046400000012</v>
      </c>
      <c r="N122" s="77"/>
      <c r="O122" s="77"/>
      <c r="P122" s="77"/>
      <c r="Q122" s="77"/>
      <c r="R122" s="146">
        <f>+IF(B122="","",IF(H122&gt;0,H122*AG122/6858,G122*AG122/6858))</f>
        <v>83.974919801691456</v>
      </c>
      <c r="S122" s="163">
        <f>+IF(B122="","",I122*0.00334)</f>
        <v>1602.1980000000001</v>
      </c>
      <c r="T122" s="164">
        <f>+IF(B122="","",I122*0.00631)</f>
        <v>3026.9069999999997</v>
      </c>
      <c r="U122" s="149">
        <f t="shared" si="26"/>
        <v>20150</v>
      </c>
      <c r="V122" s="165">
        <f>+IF(K122="","",K122*5)</f>
        <v>32785</v>
      </c>
      <c r="W122" s="166">
        <f>IF(U122="","",+U122+V122)</f>
        <v>52935</v>
      </c>
      <c r="X122" s="167">
        <f>+IF(V122="","",V122*2)</f>
        <v>65570</v>
      </c>
      <c r="Y122" s="168">
        <f>+IF(U122="","",X122+U122)</f>
        <v>85720</v>
      </c>
      <c r="Z122" s="169">
        <f>(J122*$H$7)*5.5</f>
        <v>957</v>
      </c>
      <c r="AA122" s="170">
        <f t="shared" si="38"/>
        <v>9570</v>
      </c>
      <c r="AB122" s="109"/>
      <c r="AC122" s="137">
        <f t="shared" si="27"/>
        <v>3</v>
      </c>
      <c r="AD122" s="137">
        <f t="shared" si="28"/>
        <v>0</v>
      </c>
      <c r="AE122" s="137">
        <f t="shared" si="29"/>
        <v>453600</v>
      </c>
      <c r="AF122" s="137">
        <f t="shared" si="30"/>
        <v>453600</v>
      </c>
      <c r="AG122" s="156">
        <f t="shared" si="31"/>
        <v>44300</v>
      </c>
      <c r="AH122" s="478"/>
    </row>
    <row r="123" spans="2:34" ht="15.75" hidden="1">
      <c r="B123" s="240" t="s">
        <v>199</v>
      </c>
      <c r="C123" s="240"/>
      <c r="D123" s="240"/>
      <c r="E123" s="244">
        <f>IF(B123="","",IF($H$9&gt;3.65,50,IF($H$9&gt;=3,37.5, IF($H$9&gt;=2.25,25,IF($H$9&gt;=1.5,12.5,0.05)))))</f>
        <v>37.5</v>
      </c>
      <c r="F123" s="157">
        <f t="shared" si="17"/>
        <v>30300</v>
      </c>
      <c r="G123" s="139">
        <f t="shared" si="18"/>
        <v>15</v>
      </c>
      <c r="H123" s="158">
        <f>IF(B$19=B123,E$19,IF(B$20=B123,E$20,IF(B$21=B123,E$21,IF(B$22=B123,E$22,IF(B$24=B123,E$24,0)))))</f>
        <v>0</v>
      </c>
      <c r="I123" s="159">
        <f>+IF(F123="","",IF(H123&gt;0,ROUND(F123*H123,-2),ROUND(F123*G123,-2)))</f>
        <v>454500</v>
      </c>
      <c r="J123" s="160">
        <f t="shared" si="20"/>
        <v>17.3</v>
      </c>
      <c r="K123" s="143">
        <f t="shared" si="21"/>
        <v>7811.8</v>
      </c>
      <c r="L123" s="161">
        <f>+IF(I123="","",ROUND((I123/($C$7*($C$8+$C$9)/2)/3600),2))</f>
        <v>3.01</v>
      </c>
      <c r="M123" s="162">
        <f t="shared" si="32"/>
        <v>8.0940297599999997</v>
      </c>
      <c r="N123" s="77"/>
      <c r="O123" s="77"/>
      <c r="P123" s="77"/>
      <c r="Q123" s="77"/>
      <c r="R123" s="146">
        <f>+IF(B123="","",IF(H123&gt;0,H123*AG123/6858,G123*AG123/6858))</f>
        <v>89.238845144356958</v>
      </c>
      <c r="S123" s="163">
        <f>+IF(B123="","",I123*0.00334)</f>
        <v>1518.03</v>
      </c>
      <c r="T123" s="164">
        <f>+IF(B123="","",I123*0.00631)</f>
        <v>2867.895</v>
      </c>
      <c r="U123" s="149">
        <f t="shared" si="26"/>
        <v>22500</v>
      </c>
      <c r="V123" s="165">
        <f>+IF(K123="","",K123*5)</f>
        <v>39059</v>
      </c>
      <c r="W123" s="166">
        <f>IF(U123="","",+U123+V123)</f>
        <v>61559</v>
      </c>
      <c r="X123" s="167">
        <f>+IF(V123="","",V123*2)</f>
        <v>78118</v>
      </c>
      <c r="Y123" s="168">
        <f>+IF(U123="","",X123+U123)</f>
        <v>100618</v>
      </c>
      <c r="Z123" s="169">
        <f>(J123*$H$7)*5.5</f>
        <v>1141.8000000000002</v>
      </c>
      <c r="AA123" s="170">
        <f t="shared" si="38"/>
        <v>11418.000000000002</v>
      </c>
      <c r="AB123" s="109"/>
      <c r="AC123" s="137">
        <f t="shared" si="27"/>
        <v>0</v>
      </c>
      <c r="AD123" s="137">
        <f t="shared" si="28"/>
        <v>0</v>
      </c>
      <c r="AE123" s="137">
        <f t="shared" si="29"/>
        <v>453600</v>
      </c>
      <c r="AF123" s="137">
        <f t="shared" si="30"/>
        <v>453600</v>
      </c>
      <c r="AG123" s="156">
        <f t="shared" si="31"/>
        <v>40800</v>
      </c>
      <c r="AH123" s="478"/>
    </row>
    <row r="124" spans="2:34" ht="15.75" hidden="1">
      <c r="B124" s="240" t="s">
        <v>200</v>
      </c>
      <c r="C124" s="240"/>
      <c r="D124" s="240"/>
      <c r="E124" s="244">
        <f>IF(B124="","",IF($H$9&gt;3.65,50,IF($H$9&gt;=3,37.5, IF($H$9&gt;=2.25,25,IF($H$9&gt;=1.5,12.5,0.05)))))</f>
        <v>37.5</v>
      </c>
      <c r="F124" s="157">
        <f t="shared" si="17"/>
        <v>37900</v>
      </c>
      <c r="G124" s="139">
        <f t="shared" si="18"/>
        <v>12</v>
      </c>
      <c r="H124" s="158">
        <f>IF(B$19=B124,E$19,IF(B$20=B124,E$20,IF(B$21=B124,E$21,IF(B$22=B124,E$22,IF(B$24=B124,E$24,0)))))</f>
        <v>0</v>
      </c>
      <c r="I124" s="159">
        <f>+IF(F124="","",IF(H124&gt;0,ROUND(F124*H124,-2),ROUND(F124*G124,-2)))</f>
        <v>454800</v>
      </c>
      <c r="J124" s="160">
        <f t="shared" si="20"/>
        <v>16.5</v>
      </c>
      <c r="K124" s="143">
        <f t="shared" si="21"/>
        <v>7469</v>
      </c>
      <c r="L124" s="161">
        <f>+IF(I124="","",ROUND((I124/($C$7*($C$8+$C$9)/2)/3600),2))</f>
        <v>3.01</v>
      </c>
      <c r="M124" s="162">
        <f t="shared" si="32"/>
        <v>8.0940297599999997</v>
      </c>
      <c r="N124" s="77"/>
      <c r="O124" s="77"/>
      <c r="P124" s="77"/>
      <c r="Q124" s="77"/>
      <c r="R124" s="146">
        <f>+IF(B124="","",IF(H124&gt;0,H124*AG124/6858,G124*AG124/6858))</f>
        <v>78.040244969378833</v>
      </c>
      <c r="S124" s="163">
        <f>+IF(B124="","",I124*0.00334)</f>
        <v>1519.0320000000002</v>
      </c>
      <c r="T124" s="164">
        <f>+IF(B124="","",I124*0.00631)</f>
        <v>2869.788</v>
      </c>
      <c r="U124" s="149">
        <f t="shared" si="26"/>
        <v>18000</v>
      </c>
      <c r="V124" s="165">
        <f>+IF(K124="","",K124*5)</f>
        <v>37345</v>
      </c>
      <c r="W124" s="166">
        <f>IF(U124="","",+U124+V124)</f>
        <v>55345</v>
      </c>
      <c r="X124" s="167">
        <f>+IF(V124="","",V124*2)</f>
        <v>74690</v>
      </c>
      <c r="Y124" s="168">
        <f>+IF(U124="","",X124+U124)</f>
        <v>92690</v>
      </c>
      <c r="Z124" s="169">
        <f>(J124*$H$7)*5.5</f>
        <v>1089</v>
      </c>
      <c r="AA124" s="170">
        <f t="shared" si="38"/>
        <v>10890</v>
      </c>
      <c r="AB124" s="109"/>
      <c r="AC124" s="137">
        <f t="shared" si="27"/>
        <v>0</v>
      </c>
      <c r="AD124" s="137">
        <f t="shared" si="28"/>
        <v>0</v>
      </c>
      <c r="AE124" s="137">
        <f t="shared" si="29"/>
        <v>453600</v>
      </c>
      <c r="AF124" s="137">
        <f t="shared" si="30"/>
        <v>453600</v>
      </c>
      <c r="AG124" s="156">
        <f t="shared" si="31"/>
        <v>44600</v>
      </c>
      <c r="AH124" s="478"/>
    </row>
    <row r="125" spans="2:34" ht="15.75" hidden="1">
      <c r="B125" s="240" t="str">
        <f t="shared" ref="B125:B138" si="40">IF(B79="","",B79)</f>
        <v>American Coolair MNBF60M (60Hz) 1.5 hp</v>
      </c>
      <c r="C125" s="241"/>
      <c r="D125" s="251"/>
      <c r="E125" s="244">
        <f t="shared" si="16"/>
        <v>37.5</v>
      </c>
      <c r="F125" s="157">
        <f t="shared" si="17"/>
        <v>41310</v>
      </c>
      <c r="G125" s="139">
        <f t="shared" si="18"/>
        <v>11</v>
      </c>
      <c r="H125" s="158">
        <f t="shared" si="39"/>
        <v>0</v>
      </c>
      <c r="I125" s="159">
        <f t="shared" si="19"/>
        <v>454400</v>
      </c>
      <c r="J125" s="160">
        <f t="shared" si="20"/>
        <v>16.2</v>
      </c>
      <c r="K125" s="143">
        <f t="shared" si="21"/>
        <v>7329.2</v>
      </c>
      <c r="L125" s="161">
        <f t="shared" si="22"/>
        <v>3.01</v>
      </c>
      <c r="M125" s="162">
        <f t="shared" si="32"/>
        <v>8.0940297599999997</v>
      </c>
      <c r="N125" s="77"/>
      <c r="O125" s="77"/>
      <c r="P125" s="77"/>
      <c r="Q125" s="77"/>
      <c r="R125" s="146">
        <f t="shared" si="23"/>
        <v>79.348206474190732</v>
      </c>
      <c r="S125" s="163">
        <f t="shared" si="24"/>
        <v>1517.6960000000001</v>
      </c>
      <c r="T125" s="164">
        <f t="shared" si="25"/>
        <v>2867.2639999999997</v>
      </c>
      <c r="U125" s="149">
        <f t="shared" si="26"/>
        <v>24079</v>
      </c>
      <c r="V125" s="165">
        <f t="shared" si="33"/>
        <v>36646</v>
      </c>
      <c r="W125" s="166">
        <f t="shared" si="34"/>
        <v>60725</v>
      </c>
      <c r="X125" s="167">
        <f t="shared" si="35"/>
        <v>73292</v>
      </c>
      <c r="Y125" s="168">
        <f t="shared" si="36"/>
        <v>97371</v>
      </c>
      <c r="Z125" s="169">
        <f t="shared" si="37"/>
        <v>1069.1999999999998</v>
      </c>
      <c r="AA125" s="170">
        <f t="shared" si="38"/>
        <v>10691.999999999998</v>
      </c>
      <c r="AB125" s="109"/>
      <c r="AC125" s="137">
        <f t="shared" si="27"/>
        <v>0</v>
      </c>
      <c r="AD125" s="137">
        <f t="shared" si="28"/>
        <v>0</v>
      </c>
      <c r="AE125" s="137">
        <f t="shared" si="29"/>
        <v>453600</v>
      </c>
      <c r="AF125" s="137">
        <f t="shared" si="30"/>
        <v>453600</v>
      </c>
      <c r="AG125" s="156">
        <f t="shared" ref="AG125:AG134" si="41">IF($H$9&gt;3.556,G79,IF($H$9&gt;=3.048,F79, IF($H$9&gt;=2.286,E79,IF($H$9&gt;=1.524,E79,E79))))</f>
        <v>49470</v>
      </c>
      <c r="AH125" s="478"/>
    </row>
    <row r="126" spans="2:34" ht="15.75" hidden="1">
      <c r="B126" s="240" t="str">
        <f t="shared" si="40"/>
        <v>American Coolair MNBFC60M (60Hz) CONE 1.5 hp</v>
      </c>
      <c r="C126" s="241"/>
      <c r="D126" s="251"/>
      <c r="E126" s="244">
        <f t="shared" si="16"/>
        <v>37.5</v>
      </c>
      <c r="F126" s="157">
        <f t="shared" si="17"/>
        <v>44880</v>
      </c>
      <c r="G126" s="139">
        <f t="shared" si="18"/>
        <v>11</v>
      </c>
      <c r="H126" s="158">
        <f t="shared" si="39"/>
        <v>0</v>
      </c>
      <c r="I126" s="159">
        <f t="shared" si="19"/>
        <v>493700</v>
      </c>
      <c r="J126" s="160">
        <f t="shared" si="20"/>
        <v>16.399999999999999</v>
      </c>
      <c r="K126" s="143">
        <f t="shared" si="21"/>
        <v>7392.4</v>
      </c>
      <c r="L126" s="161">
        <f t="shared" si="22"/>
        <v>3.27</v>
      </c>
      <c r="M126" s="162">
        <f t="shared" si="32"/>
        <v>9.5311090400000005</v>
      </c>
      <c r="N126" s="77"/>
      <c r="O126" s="77"/>
      <c r="P126" s="77"/>
      <c r="Q126" s="77"/>
      <c r="R126" s="146">
        <f t="shared" si="23"/>
        <v>87.255759696704573</v>
      </c>
      <c r="S126" s="163">
        <f t="shared" si="24"/>
        <v>1648.9580000000001</v>
      </c>
      <c r="T126" s="164">
        <f t="shared" si="25"/>
        <v>3115.2469999999998</v>
      </c>
      <c r="U126" s="149">
        <f t="shared" si="26"/>
        <v>26895</v>
      </c>
      <c r="V126" s="165">
        <f t="shared" si="33"/>
        <v>36962</v>
      </c>
      <c r="W126" s="166">
        <f t="shared" si="34"/>
        <v>63857</v>
      </c>
      <c r="X126" s="167">
        <f t="shared" si="35"/>
        <v>73924</v>
      </c>
      <c r="Y126" s="168">
        <f t="shared" si="36"/>
        <v>100819</v>
      </c>
      <c r="Z126" s="169">
        <f t="shared" si="37"/>
        <v>1082.3999999999999</v>
      </c>
      <c r="AA126" s="170">
        <f t="shared" si="38"/>
        <v>10823.999999999998</v>
      </c>
      <c r="AB126" s="109"/>
      <c r="AC126" s="137">
        <f t="shared" si="27"/>
        <v>1</v>
      </c>
      <c r="AD126" s="137">
        <f t="shared" si="28"/>
        <v>0</v>
      </c>
      <c r="AE126" s="137">
        <f t="shared" si="29"/>
        <v>453600</v>
      </c>
      <c r="AF126" s="137">
        <f t="shared" si="30"/>
        <v>453600</v>
      </c>
      <c r="AG126" s="156">
        <f t="shared" si="41"/>
        <v>54400</v>
      </c>
      <c r="AH126" s="478"/>
    </row>
    <row r="127" spans="2:34" ht="15.75" hidden="1">
      <c r="B127" s="240" t="str">
        <f t="shared" si="40"/>
        <v>American Coolair MNBFA54L (60Hz) 1hp</v>
      </c>
      <c r="C127" s="241"/>
      <c r="D127" s="251"/>
      <c r="E127" s="244">
        <f t="shared" si="16"/>
        <v>37.5</v>
      </c>
      <c r="F127" s="157">
        <f t="shared" si="17"/>
        <v>34690.199999999997</v>
      </c>
      <c r="G127" s="139">
        <f t="shared" si="18"/>
        <v>14</v>
      </c>
      <c r="H127" s="158">
        <f t="shared" si="39"/>
        <v>0</v>
      </c>
      <c r="I127" s="159">
        <f t="shared" si="19"/>
        <v>485700</v>
      </c>
      <c r="J127" s="160">
        <f t="shared" si="20"/>
        <v>16.2</v>
      </c>
      <c r="K127" s="143">
        <f t="shared" si="21"/>
        <v>7299.2</v>
      </c>
      <c r="L127" s="161">
        <f t="shared" si="22"/>
        <v>3.21</v>
      </c>
      <c r="M127" s="162">
        <f t="shared" si="32"/>
        <v>9.1890641600000009</v>
      </c>
      <c r="N127" s="77"/>
      <c r="O127" s="77"/>
      <c r="P127" s="77"/>
      <c r="Q127" s="77"/>
      <c r="R127" s="146">
        <f t="shared" si="23"/>
        <v>82.137416156313805</v>
      </c>
      <c r="S127" s="163">
        <f t="shared" si="24"/>
        <v>1622.2380000000001</v>
      </c>
      <c r="T127" s="164">
        <f t="shared" si="25"/>
        <v>3064.7669999999998</v>
      </c>
      <c r="U127" s="149">
        <f t="shared" si="26"/>
        <v>24612</v>
      </c>
      <c r="V127" s="165">
        <f t="shared" si="33"/>
        <v>36496</v>
      </c>
      <c r="W127" s="166">
        <f t="shared" si="34"/>
        <v>61108</v>
      </c>
      <c r="X127" s="167">
        <f t="shared" si="35"/>
        <v>72992</v>
      </c>
      <c r="Y127" s="168">
        <f t="shared" si="36"/>
        <v>97604</v>
      </c>
      <c r="Z127" s="169">
        <f t="shared" si="37"/>
        <v>1069.1999999999998</v>
      </c>
      <c r="AA127" s="170">
        <f t="shared" si="38"/>
        <v>10691.999999999998</v>
      </c>
      <c r="AB127" s="109"/>
      <c r="AC127" s="137">
        <f t="shared" si="27"/>
        <v>1</v>
      </c>
      <c r="AD127" s="137">
        <f t="shared" si="28"/>
        <v>0</v>
      </c>
      <c r="AE127" s="137">
        <f t="shared" si="29"/>
        <v>453600</v>
      </c>
      <c r="AF127" s="137">
        <f t="shared" si="30"/>
        <v>453600</v>
      </c>
      <c r="AG127" s="156">
        <f t="shared" si="41"/>
        <v>40235.599999999999</v>
      </c>
      <c r="AH127" s="478"/>
    </row>
    <row r="128" spans="2:34" ht="15.75" hidden="1">
      <c r="B128" s="240" t="str">
        <f t="shared" si="40"/>
        <v>American Coolair MNBFA54M (60Hz) 1.5hp)</v>
      </c>
      <c r="C128" s="241"/>
      <c r="D128" s="251"/>
      <c r="E128" s="244">
        <f t="shared" si="16"/>
        <v>37.5</v>
      </c>
      <c r="F128" s="157">
        <f t="shared" si="17"/>
        <v>40294</v>
      </c>
      <c r="G128" s="139">
        <f t="shared" si="18"/>
        <v>12</v>
      </c>
      <c r="H128" s="158">
        <f t="shared" si="39"/>
        <v>0</v>
      </c>
      <c r="I128" s="159">
        <f t="shared" si="19"/>
        <v>483500</v>
      </c>
      <c r="J128" s="160">
        <f t="shared" si="20"/>
        <v>19.5</v>
      </c>
      <c r="K128" s="143">
        <f t="shared" si="21"/>
        <v>8797</v>
      </c>
      <c r="L128" s="161">
        <f t="shared" si="22"/>
        <v>3.2</v>
      </c>
      <c r="M128" s="162">
        <f t="shared" si="32"/>
        <v>9.1326640000000019</v>
      </c>
      <c r="N128" s="77"/>
      <c r="O128" s="77"/>
      <c r="P128" s="77"/>
      <c r="Q128" s="77"/>
      <c r="R128" s="146">
        <f t="shared" si="23"/>
        <v>78.813648293963254</v>
      </c>
      <c r="S128" s="163">
        <f t="shared" si="24"/>
        <v>1614.89</v>
      </c>
      <c r="T128" s="164">
        <f t="shared" si="25"/>
        <v>3050.8849999999998</v>
      </c>
      <c r="U128" s="149">
        <f t="shared" si="26"/>
        <v>21960</v>
      </c>
      <c r="V128" s="165">
        <f t="shared" si="33"/>
        <v>43985</v>
      </c>
      <c r="W128" s="166">
        <f t="shared" si="34"/>
        <v>65945</v>
      </c>
      <c r="X128" s="167">
        <f t="shared" si="35"/>
        <v>87970</v>
      </c>
      <c r="Y128" s="168">
        <f t="shared" si="36"/>
        <v>109930</v>
      </c>
      <c r="Z128" s="169">
        <f t="shared" si="37"/>
        <v>1287</v>
      </c>
      <c r="AA128" s="170">
        <f t="shared" si="38"/>
        <v>12870</v>
      </c>
      <c r="AB128" s="109"/>
      <c r="AC128" s="137">
        <f t="shared" ref="AC128:AC135" si="42">+IF(I82="","",IF(I82&gt;=37.38,4,IF(I82&gt;=35.68,3,IF(I82&gt;=33.98,2,IF(I82&gt;=32.28,1,0)))))</f>
        <v>0</v>
      </c>
      <c r="AD128" s="137">
        <f t="shared" si="28"/>
        <v>0</v>
      </c>
      <c r="AE128" s="137">
        <f t="shared" si="29"/>
        <v>453600</v>
      </c>
      <c r="AF128" s="137">
        <f t="shared" si="30"/>
        <v>453600</v>
      </c>
      <c r="AG128" s="156">
        <f t="shared" si="41"/>
        <v>45042</v>
      </c>
      <c r="AH128" s="478"/>
    </row>
    <row r="129" spans="2:34" ht="15.75" hidden="1">
      <c r="B129" s="240" t="str">
        <f t="shared" si="40"/>
        <v>American Coolair MNBFA54N (60Hz) 2hp</v>
      </c>
      <c r="C129" s="241"/>
      <c r="D129" s="251"/>
      <c r="E129" s="244">
        <f t="shared" si="16"/>
        <v>37.5</v>
      </c>
      <c r="F129" s="157">
        <f t="shared" si="17"/>
        <v>44529</v>
      </c>
      <c r="G129" s="139">
        <f t="shared" si="18"/>
        <v>11</v>
      </c>
      <c r="H129" s="158">
        <f t="shared" si="39"/>
        <v>0</v>
      </c>
      <c r="I129" s="159">
        <f t="shared" si="19"/>
        <v>489800</v>
      </c>
      <c r="J129" s="160">
        <f t="shared" si="20"/>
        <v>25.6</v>
      </c>
      <c r="K129" s="143">
        <f t="shared" si="21"/>
        <v>11549.6</v>
      </c>
      <c r="L129" s="161">
        <f t="shared" si="22"/>
        <v>3.24</v>
      </c>
      <c r="M129" s="162">
        <f t="shared" si="32"/>
        <v>9.3593057600000034</v>
      </c>
      <c r="N129" s="77"/>
      <c r="O129" s="77"/>
      <c r="P129" s="77"/>
      <c r="Q129" s="77"/>
      <c r="R129" s="146">
        <f t="shared" si="23"/>
        <v>78.39384660250802</v>
      </c>
      <c r="S129" s="163">
        <f t="shared" si="24"/>
        <v>1635.932</v>
      </c>
      <c r="T129" s="164">
        <f t="shared" si="25"/>
        <v>3090.6379999999999</v>
      </c>
      <c r="U129" s="149">
        <f t="shared" si="26"/>
        <v>20812</v>
      </c>
      <c r="V129" s="165">
        <f t="shared" si="33"/>
        <v>57748</v>
      </c>
      <c r="W129" s="166">
        <f t="shared" si="34"/>
        <v>78560</v>
      </c>
      <c r="X129" s="167">
        <f t="shared" si="35"/>
        <v>115496</v>
      </c>
      <c r="Y129" s="168">
        <f t="shared" si="36"/>
        <v>136308</v>
      </c>
      <c r="Z129" s="169">
        <f t="shared" si="37"/>
        <v>1689.6000000000004</v>
      </c>
      <c r="AA129" s="170">
        <f t="shared" si="38"/>
        <v>16896.000000000004</v>
      </c>
      <c r="AB129" s="109"/>
      <c r="AC129" s="137">
        <f t="shared" si="42"/>
        <v>0</v>
      </c>
      <c r="AD129" s="137">
        <f t="shared" si="28"/>
        <v>0</v>
      </c>
      <c r="AE129" s="137">
        <f t="shared" si="29"/>
        <v>453600</v>
      </c>
      <c r="AF129" s="137">
        <f t="shared" si="30"/>
        <v>453600</v>
      </c>
      <c r="AG129" s="156">
        <f t="shared" si="41"/>
        <v>48875</v>
      </c>
      <c r="AH129" s="478"/>
    </row>
    <row r="130" spans="2:34" ht="15.75" hidden="1">
      <c r="B130" s="240" t="str">
        <f t="shared" si="40"/>
        <v>American Coolair MNBFA48L (60Hz) 1hp with CONE</v>
      </c>
      <c r="C130" s="241"/>
      <c r="D130" s="251"/>
      <c r="E130" s="244">
        <f t="shared" si="16"/>
        <v>37.5</v>
      </c>
      <c r="F130" s="157">
        <f t="shared" si="17"/>
        <v>26651</v>
      </c>
      <c r="G130" s="139">
        <f t="shared" si="18"/>
        <v>18</v>
      </c>
      <c r="H130" s="158">
        <f t="shared" si="39"/>
        <v>0</v>
      </c>
      <c r="I130" s="159">
        <f t="shared" si="19"/>
        <v>479700</v>
      </c>
      <c r="J130" s="160">
        <f t="shared" si="20"/>
        <v>16.7</v>
      </c>
      <c r="K130" s="143">
        <f t="shared" si="21"/>
        <v>7542.2</v>
      </c>
      <c r="L130" s="161">
        <f t="shared" si="22"/>
        <v>3.17</v>
      </c>
      <c r="M130" s="162">
        <f t="shared" si="32"/>
        <v>8.9645046400000012</v>
      </c>
      <c r="N130" s="77"/>
      <c r="O130" s="77"/>
      <c r="P130" s="77"/>
      <c r="Q130" s="77"/>
      <c r="R130" s="146">
        <f t="shared" si="23"/>
        <v>82.380577427821521</v>
      </c>
      <c r="S130" s="163">
        <f t="shared" si="24"/>
        <v>1602.1980000000001</v>
      </c>
      <c r="T130" s="164">
        <f t="shared" si="25"/>
        <v>3026.9069999999997</v>
      </c>
      <c r="U130" s="149">
        <f t="shared" si="26"/>
        <v>26244</v>
      </c>
      <c r="V130" s="165">
        <f t="shared" si="33"/>
        <v>37711</v>
      </c>
      <c r="W130" s="166">
        <f t="shared" si="34"/>
        <v>63955</v>
      </c>
      <c r="X130" s="167">
        <f t="shared" si="35"/>
        <v>75422</v>
      </c>
      <c r="Y130" s="168">
        <f t="shared" si="36"/>
        <v>101666</v>
      </c>
      <c r="Z130" s="169">
        <f t="shared" si="37"/>
        <v>1102.1999999999998</v>
      </c>
      <c r="AA130" s="170">
        <f t="shared" si="38"/>
        <v>11021.999999999998</v>
      </c>
      <c r="AB130" s="109"/>
      <c r="AC130" s="137">
        <f t="shared" si="42"/>
        <v>0</v>
      </c>
      <c r="AD130" s="137">
        <f t="shared" si="28"/>
        <v>0</v>
      </c>
      <c r="AE130" s="137">
        <f t="shared" si="29"/>
        <v>453600</v>
      </c>
      <c r="AF130" s="137">
        <f t="shared" si="30"/>
        <v>453600</v>
      </c>
      <c r="AG130" s="156">
        <f t="shared" si="41"/>
        <v>31387</v>
      </c>
      <c r="AH130" s="478"/>
    </row>
    <row r="131" spans="2:34" ht="15.75" hidden="1">
      <c r="B131" s="240" t="str">
        <f t="shared" si="40"/>
        <v>American Coolair MNCFC52L (60Hz) CONE 1hp</v>
      </c>
      <c r="C131" s="241"/>
      <c r="D131" s="251"/>
      <c r="E131" s="244">
        <f t="shared" si="16"/>
        <v>37.5</v>
      </c>
      <c r="F131" s="157">
        <f t="shared" si="17"/>
        <v>33150</v>
      </c>
      <c r="G131" s="139">
        <f t="shared" si="18"/>
        <v>14</v>
      </c>
      <c r="H131" s="158">
        <f t="shared" si="39"/>
        <v>0</v>
      </c>
      <c r="I131" s="159">
        <f t="shared" si="19"/>
        <v>464100</v>
      </c>
      <c r="J131" s="160">
        <f t="shared" si="20"/>
        <v>17.3</v>
      </c>
      <c r="K131" s="143">
        <f t="shared" si="21"/>
        <v>7811.8</v>
      </c>
      <c r="L131" s="161">
        <f t="shared" si="22"/>
        <v>3.07</v>
      </c>
      <c r="M131" s="162">
        <f t="shared" si="32"/>
        <v>8.4152522400000009</v>
      </c>
      <c r="N131" s="77"/>
      <c r="O131" s="77"/>
      <c r="P131" s="77"/>
      <c r="Q131" s="77"/>
      <c r="R131" s="146">
        <f t="shared" si="23"/>
        <v>84.330708661417319</v>
      </c>
      <c r="S131" s="163">
        <f t="shared" si="24"/>
        <v>1550.0940000000001</v>
      </c>
      <c r="T131" s="164">
        <f t="shared" si="25"/>
        <v>2928.471</v>
      </c>
      <c r="U131" s="149">
        <f t="shared" si="26"/>
        <v>23912</v>
      </c>
      <c r="V131" s="165">
        <f t="shared" si="33"/>
        <v>39059</v>
      </c>
      <c r="W131" s="166">
        <f t="shared" si="34"/>
        <v>62971</v>
      </c>
      <c r="X131" s="167">
        <f t="shared" si="35"/>
        <v>78118</v>
      </c>
      <c r="Y131" s="168">
        <f t="shared" si="36"/>
        <v>102030</v>
      </c>
      <c r="Z131" s="169">
        <f t="shared" si="37"/>
        <v>1141.8000000000002</v>
      </c>
      <c r="AA131" s="170">
        <f t="shared" si="38"/>
        <v>11418.000000000002</v>
      </c>
      <c r="AB131" s="109"/>
      <c r="AC131" s="137">
        <f t="shared" si="42"/>
        <v>0</v>
      </c>
      <c r="AD131" s="137">
        <f t="shared" si="28"/>
        <v>0</v>
      </c>
      <c r="AE131" s="137">
        <f t="shared" si="29"/>
        <v>453600</v>
      </c>
      <c r="AF131" s="137">
        <f t="shared" si="30"/>
        <v>453600</v>
      </c>
      <c r="AG131" s="156">
        <f t="shared" si="41"/>
        <v>41310</v>
      </c>
      <c r="AH131" s="478"/>
    </row>
    <row r="132" spans="2:34" ht="15.75" hidden="1" customHeight="1">
      <c r="B132" s="240" t="str">
        <f t="shared" si="40"/>
        <v>American Coolair MNBCCE54L (60 Hz) CONE 1hp</v>
      </c>
      <c r="C132" s="241"/>
      <c r="D132" s="251"/>
      <c r="E132" s="244">
        <f t="shared" si="16"/>
        <v>37.5</v>
      </c>
      <c r="F132" s="157">
        <f t="shared" si="17"/>
        <v>36019</v>
      </c>
      <c r="G132" s="139">
        <f t="shared" si="18"/>
        <v>13</v>
      </c>
      <c r="H132" s="158">
        <f t="shared" si="39"/>
        <v>0</v>
      </c>
      <c r="I132" s="159">
        <f t="shared" si="19"/>
        <v>468200</v>
      </c>
      <c r="J132" s="160">
        <f t="shared" si="20"/>
        <v>11.3</v>
      </c>
      <c r="K132" s="143">
        <f t="shared" si="21"/>
        <v>5115.8</v>
      </c>
      <c r="L132" s="161">
        <f t="shared" si="22"/>
        <v>3.1</v>
      </c>
      <c r="M132" s="162">
        <f t="shared" si="32"/>
        <v>8.5782060000000016</v>
      </c>
      <c r="N132" s="77"/>
      <c r="O132" s="77"/>
      <c r="P132" s="77"/>
      <c r="Q132" s="77"/>
      <c r="R132" s="146">
        <f t="shared" si="23"/>
        <v>82.447069116360453</v>
      </c>
      <c r="S132" s="163">
        <f t="shared" si="24"/>
        <v>1563.788</v>
      </c>
      <c r="T132" s="164">
        <f t="shared" si="25"/>
        <v>2954.3419999999996</v>
      </c>
      <c r="U132" s="149">
        <f t="shared" si="26"/>
        <v>24544</v>
      </c>
      <c r="V132" s="165">
        <f t="shared" si="33"/>
        <v>25579</v>
      </c>
      <c r="W132" s="166">
        <f t="shared" si="34"/>
        <v>50123</v>
      </c>
      <c r="X132" s="167">
        <f t="shared" si="35"/>
        <v>51158</v>
      </c>
      <c r="Y132" s="168">
        <f t="shared" si="36"/>
        <v>75702</v>
      </c>
      <c r="Z132" s="169">
        <f t="shared" si="37"/>
        <v>745.80000000000018</v>
      </c>
      <c r="AA132" s="170">
        <f t="shared" si="38"/>
        <v>7458.0000000000018</v>
      </c>
      <c r="AB132" s="109"/>
      <c r="AC132" s="137">
        <f t="shared" si="42"/>
        <v>4</v>
      </c>
      <c r="AD132" s="137">
        <f t="shared" si="28"/>
        <v>0</v>
      </c>
      <c r="AE132" s="137">
        <f t="shared" si="29"/>
        <v>453600</v>
      </c>
      <c r="AF132" s="137">
        <f t="shared" si="30"/>
        <v>453600</v>
      </c>
      <c r="AG132" s="156">
        <f t="shared" si="41"/>
        <v>43494</v>
      </c>
      <c r="AH132" s="478"/>
    </row>
    <row r="133" spans="2:34" ht="15.75" hidden="1">
      <c r="B133" s="240" t="str">
        <f t="shared" si="40"/>
        <v>American Coolair MNCFE52L (60Hz) 1hp</v>
      </c>
      <c r="C133" s="241"/>
      <c r="D133" s="251"/>
      <c r="E133" s="244">
        <f t="shared" si="16"/>
        <v>37.5</v>
      </c>
      <c r="F133" s="157">
        <f t="shared" si="17"/>
        <v>28050</v>
      </c>
      <c r="G133" s="139">
        <f t="shared" si="18"/>
        <v>17</v>
      </c>
      <c r="H133" s="158">
        <f t="shared" si="39"/>
        <v>0</v>
      </c>
      <c r="I133" s="159">
        <f t="shared" si="19"/>
        <v>476900</v>
      </c>
      <c r="J133" s="160">
        <f t="shared" si="20"/>
        <v>16.399999999999999</v>
      </c>
      <c r="K133" s="143">
        <f t="shared" si="21"/>
        <v>7402.4</v>
      </c>
      <c r="L133" s="161">
        <f t="shared" si="22"/>
        <v>3.15</v>
      </c>
      <c r="M133" s="162">
        <f t="shared" si="32"/>
        <v>8.8532659999999996</v>
      </c>
      <c r="N133" s="77"/>
      <c r="O133" s="77"/>
      <c r="P133" s="77"/>
      <c r="Q133" s="77"/>
      <c r="R133" s="146">
        <f t="shared" si="23"/>
        <v>88.073782443861191</v>
      </c>
      <c r="S133" s="163">
        <f t="shared" si="24"/>
        <v>1592.846</v>
      </c>
      <c r="T133" s="164">
        <f t="shared" si="25"/>
        <v>3009.239</v>
      </c>
      <c r="U133" s="149">
        <f t="shared" si="26"/>
        <v>24990</v>
      </c>
      <c r="V133" s="165">
        <f t="shared" si="33"/>
        <v>37012</v>
      </c>
      <c r="W133" s="166">
        <f t="shared" si="34"/>
        <v>62002</v>
      </c>
      <c r="X133" s="167">
        <f t="shared" si="35"/>
        <v>74024</v>
      </c>
      <c r="Y133" s="168">
        <f t="shared" si="36"/>
        <v>99014</v>
      </c>
      <c r="Z133" s="169">
        <f t="shared" si="37"/>
        <v>1082.3999999999999</v>
      </c>
      <c r="AA133" s="170">
        <f t="shared" si="38"/>
        <v>10823.999999999998</v>
      </c>
      <c r="AB133" s="109"/>
      <c r="AC133" s="137">
        <f t="shared" si="42"/>
        <v>1</v>
      </c>
      <c r="AD133" s="137">
        <f t="shared" si="28"/>
        <v>0</v>
      </c>
      <c r="AE133" s="137">
        <f t="shared" si="29"/>
        <v>453600</v>
      </c>
      <c r="AF133" s="137">
        <f t="shared" si="30"/>
        <v>453600</v>
      </c>
      <c r="AG133" s="156">
        <f t="shared" si="41"/>
        <v>35530</v>
      </c>
      <c r="AH133" s="478"/>
    </row>
    <row r="134" spans="2:34" ht="15.75" hidden="1">
      <c r="B134" s="240" t="str">
        <f t="shared" si="40"/>
        <v>Chore-Time 52157-51 (54", 1.5hp, 3 blade) CONE</v>
      </c>
      <c r="C134" s="241"/>
      <c r="D134" s="251"/>
      <c r="E134" s="244">
        <f>IF(B134="","",IF($H$9&gt;3.65,50,IF($H$9&gt;=3,37.5, IF($H$9&gt;=2.25,25,IF($H$9&gt;=1.5,12.5,0.05)))))</f>
        <v>37.5</v>
      </c>
      <c r="F134" s="157">
        <f t="shared" si="17"/>
        <v>43834</v>
      </c>
      <c r="G134" s="139">
        <f t="shared" si="18"/>
        <v>11</v>
      </c>
      <c r="H134" s="158">
        <f>IF(B$19=B134,E$19,IF(B$20=B134,E$20,IF(B$21=B134,E$21,IF(B$22=B134,E$22,IF(B$24=B134,E$24,0)))))</f>
        <v>0</v>
      </c>
      <c r="I134" s="159">
        <f>+IF(F134="","",IF(H134&gt;0,ROUND(F134*H134,-2),ROUND(F134*G134,-2)))</f>
        <v>482200</v>
      </c>
      <c r="J134" s="160">
        <f t="shared" si="20"/>
        <v>15.6</v>
      </c>
      <c r="K134" s="143">
        <f t="shared" si="21"/>
        <v>7039.6</v>
      </c>
      <c r="L134" s="161">
        <f>+IF(I134="","",ROUND((I134/($C$7*($C$8+$C$9)/2)/3600),2))</f>
        <v>3.19</v>
      </c>
      <c r="M134" s="162">
        <f t="shared" si="32"/>
        <v>9.0764373600000017</v>
      </c>
      <c r="N134" s="77"/>
      <c r="O134" s="77"/>
      <c r="P134" s="77"/>
      <c r="Q134" s="77"/>
      <c r="R134" s="146">
        <f t="shared" si="23"/>
        <v>82.299504228638085</v>
      </c>
      <c r="S134" s="163">
        <f>+IF(B134="","",I134*0.00334)</f>
        <v>1610.548</v>
      </c>
      <c r="T134" s="164">
        <f>+IF(B134="","",I134*0.00631)</f>
        <v>3042.6819999999998</v>
      </c>
      <c r="U134" s="149">
        <f t="shared" si="26"/>
        <v>16962</v>
      </c>
      <c r="V134" s="165">
        <f>+IF(K134="","",K134*5)</f>
        <v>35198</v>
      </c>
      <c r="W134" s="166">
        <f>IF(U134="","",+U134+V134)</f>
        <v>52160</v>
      </c>
      <c r="X134" s="167">
        <f>+IF(V134="","",V134*2)</f>
        <v>70396</v>
      </c>
      <c r="Y134" s="168">
        <f>+IF(U134="","",X134+U134)</f>
        <v>87358</v>
      </c>
      <c r="Z134" s="169">
        <f>(J134*$H$7)*5.5</f>
        <v>1029.5999999999999</v>
      </c>
      <c r="AA134" s="170">
        <f t="shared" si="38"/>
        <v>10296</v>
      </c>
      <c r="AB134" s="109"/>
      <c r="AC134" s="137">
        <f t="shared" si="42"/>
        <v>1</v>
      </c>
      <c r="AD134" s="137">
        <f t="shared" si="28"/>
        <v>0</v>
      </c>
      <c r="AE134" s="137">
        <f t="shared" si="29"/>
        <v>453600</v>
      </c>
      <c r="AF134" s="137">
        <f t="shared" si="30"/>
        <v>453600</v>
      </c>
      <c r="AG134" s="156">
        <f t="shared" si="41"/>
        <v>51310</v>
      </c>
      <c r="AH134" s="478"/>
    </row>
    <row r="135" spans="2:34" ht="15.75" hidden="1">
      <c r="B135" s="240" t="str">
        <f t="shared" si="40"/>
        <v>Multifan MF130 0.75kW (50.5", 1.0hp, 3 blade)</v>
      </c>
      <c r="C135" s="241"/>
      <c r="D135" s="251"/>
      <c r="E135" s="244">
        <f t="shared" si="16"/>
        <v>37.5</v>
      </c>
      <c r="F135" s="157">
        <f t="shared" si="17"/>
        <v>27200</v>
      </c>
      <c r="G135" s="139">
        <f t="shared" si="18"/>
        <v>17</v>
      </c>
      <c r="H135" s="158">
        <f t="shared" si="39"/>
        <v>0</v>
      </c>
      <c r="I135" s="159">
        <f t="shared" si="19"/>
        <v>462400</v>
      </c>
      <c r="J135" s="160">
        <f t="shared" si="20"/>
        <v>20</v>
      </c>
      <c r="K135" s="143">
        <f t="shared" si="21"/>
        <v>9030</v>
      </c>
      <c r="L135" s="161">
        <f t="shared" si="22"/>
        <v>3.06</v>
      </c>
      <c r="M135" s="162">
        <f t="shared" si="32"/>
        <v>8.3612813600000013</v>
      </c>
      <c r="N135" s="77"/>
      <c r="O135" s="77"/>
      <c r="P135" s="77"/>
      <c r="Q135" s="77"/>
      <c r="R135" s="146">
        <f t="shared" si="23"/>
        <v>87.751531058617672</v>
      </c>
      <c r="S135" s="163">
        <f t="shared" si="24"/>
        <v>1544.4159999999999</v>
      </c>
      <c r="T135" s="164">
        <f t="shared" si="25"/>
        <v>2917.7439999999997</v>
      </c>
      <c r="U135" s="149">
        <f t="shared" si="26"/>
        <v>12240</v>
      </c>
      <c r="V135" s="165">
        <f t="shared" si="33"/>
        <v>45150</v>
      </c>
      <c r="W135" s="166">
        <f t="shared" si="34"/>
        <v>57390</v>
      </c>
      <c r="X135" s="167">
        <f t="shared" si="35"/>
        <v>90300</v>
      </c>
      <c r="Y135" s="168">
        <f t="shared" si="36"/>
        <v>102540</v>
      </c>
      <c r="Z135" s="169">
        <f t="shared" si="37"/>
        <v>1320</v>
      </c>
      <c r="AA135" s="170">
        <f t="shared" si="38"/>
        <v>13200</v>
      </c>
      <c r="AB135" s="109"/>
      <c r="AC135" s="137">
        <f t="shared" si="42"/>
        <v>0</v>
      </c>
      <c r="AD135" s="137">
        <f t="shared" si="28"/>
        <v>0</v>
      </c>
      <c r="AE135" s="137">
        <f t="shared" si="29"/>
        <v>453600</v>
      </c>
      <c r="AF135" s="137">
        <f t="shared" si="30"/>
        <v>453600</v>
      </c>
      <c r="AG135" s="156">
        <f t="shared" ref="AG135:AG147" si="43">IF($H$9&gt;3.556,G89,IF($H$9&gt;=3.048,F89, IF($H$9&gt;=2.286,E89,IF($H$9&gt;=1.524,E89,E89))))</f>
        <v>35400</v>
      </c>
      <c r="AH135" s="478"/>
    </row>
    <row r="136" spans="2:34" ht="15.75" hidden="1">
      <c r="B136" s="240" t="str">
        <f t="shared" si="40"/>
        <v>Multifan MF130 1.12 kW (50.5", 1.5 hp, 3 blade)</v>
      </c>
      <c r="C136" s="241"/>
      <c r="D136" s="251"/>
      <c r="E136" s="244">
        <f t="shared" si="16"/>
        <v>37.5</v>
      </c>
      <c r="F136" s="157">
        <f t="shared" si="17"/>
        <v>34600</v>
      </c>
      <c r="G136" s="139">
        <f t="shared" si="18"/>
        <v>14</v>
      </c>
      <c r="H136" s="158">
        <f t="shared" si="39"/>
        <v>0</v>
      </c>
      <c r="I136" s="159">
        <f t="shared" si="19"/>
        <v>484400</v>
      </c>
      <c r="J136" s="160">
        <f t="shared" si="20"/>
        <v>20.8</v>
      </c>
      <c r="K136" s="143">
        <f t="shared" si="21"/>
        <v>9402.7999999999993</v>
      </c>
      <c r="L136" s="161">
        <f t="shared" si="22"/>
        <v>3.2</v>
      </c>
      <c r="M136" s="162">
        <f t="shared" si="32"/>
        <v>9.1326640000000019</v>
      </c>
      <c r="N136" s="77"/>
      <c r="O136" s="77"/>
      <c r="P136" s="77"/>
      <c r="Q136" s="77"/>
      <c r="R136" s="146">
        <f t="shared" si="23"/>
        <v>82.064741907261592</v>
      </c>
      <c r="S136" s="163">
        <f t="shared" si="24"/>
        <v>1617.896</v>
      </c>
      <c r="T136" s="164">
        <f t="shared" si="25"/>
        <v>3056.5639999999999</v>
      </c>
      <c r="U136" s="149">
        <f t="shared" si="26"/>
        <v>10080</v>
      </c>
      <c r="V136" s="165">
        <f t="shared" si="33"/>
        <v>47014</v>
      </c>
      <c r="W136" s="166">
        <f t="shared" si="34"/>
        <v>57094</v>
      </c>
      <c r="X136" s="167">
        <f t="shared" si="35"/>
        <v>94028</v>
      </c>
      <c r="Y136" s="168">
        <f t="shared" si="36"/>
        <v>104108</v>
      </c>
      <c r="Z136" s="169">
        <f t="shared" si="37"/>
        <v>1372.8000000000002</v>
      </c>
      <c r="AA136" s="170">
        <f t="shared" si="38"/>
        <v>13728.000000000002</v>
      </c>
      <c r="AB136" s="109"/>
      <c r="AC136" s="137">
        <f t="shared" ref="AC136:AC143" si="44">+IF(I90="","",IF(I90&gt;=37.38,4,IF(I90&gt;=35.68,3,IF(I90&gt;=33.98,2,IF(I90&gt;=32.28,1,0)))))</f>
        <v>0</v>
      </c>
      <c r="AD136" s="137">
        <f t="shared" si="28"/>
        <v>0</v>
      </c>
      <c r="AE136" s="137">
        <f t="shared" si="29"/>
        <v>453600</v>
      </c>
      <c r="AF136" s="137">
        <f t="shared" si="30"/>
        <v>453600</v>
      </c>
      <c r="AG136" s="156">
        <f t="shared" si="43"/>
        <v>40200</v>
      </c>
      <c r="AH136" s="478"/>
    </row>
    <row r="137" spans="2:34" ht="15.75" hidden="1">
      <c r="B137" s="240" t="str">
        <f t="shared" si="40"/>
        <v>Multifan MF130 0.75 kW (50.5", 1.0 hp, 3 blade) CONE</v>
      </c>
      <c r="C137" s="241"/>
      <c r="D137" s="251"/>
      <c r="E137" s="244">
        <f t="shared" si="16"/>
        <v>37.5</v>
      </c>
      <c r="F137" s="157">
        <f t="shared" si="17"/>
        <v>32400</v>
      </c>
      <c r="G137" s="139">
        <f t="shared" si="18"/>
        <v>14</v>
      </c>
      <c r="H137" s="158">
        <f t="shared" si="39"/>
        <v>0</v>
      </c>
      <c r="I137" s="159">
        <f t="shared" si="19"/>
        <v>453600</v>
      </c>
      <c r="J137" s="160">
        <f t="shared" si="20"/>
        <v>16.399999999999999</v>
      </c>
      <c r="K137" s="143">
        <f t="shared" si="21"/>
        <v>7402.4</v>
      </c>
      <c r="L137" s="161">
        <f t="shared" si="22"/>
        <v>3</v>
      </c>
      <c r="M137" s="162">
        <f t="shared" si="32"/>
        <v>8.0411000000000019</v>
      </c>
      <c r="N137" s="77"/>
      <c r="O137" s="77"/>
      <c r="P137" s="77"/>
      <c r="Q137" s="77"/>
      <c r="R137" s="146">
        <f t="shared" si="23"/>
        <v>79.206765820939054</v>
      </c>
      <c r="S137" s="163">
        <f t="shared" si="24"/>
        <v>1515.0240000000001</v>
      </c>
      <c r="T137" s="164">
        <f t="shared" si="25"/>
        <v>2862.2159999999999</v>
      </c>
      <c r="U137" s="149">
        <f t="shared" si="26"/>
        <v>12460</v>
      </c>
      <c r="V137" s="165">
        <f t="shared" si="33"/>
        <v>37012</v>
      </c>
      <c r="W137" s="166">
        <f t="shared" si="34"/>
        <v>49472</v>
      </c>
      <c r="X137" s="167">
        <f t="shared" si="35"/>
        <v>74024</v>
      </c>
      <c r="Y137" s="168">
        <f t="shared" si="36"/>
        <v>86484</v>
      </c>
      <c r="Z137" s="169">
        <f t="shared" si="37"/>
        <v>1082.3999999999999</v>
      </c>
      <c r="AA137" s="170">
        <f t="shared" si="38"/>
        <v>10823.999999999998</v>
      </c>
      <c r="AB137" s="109"/>
      <c r="AC137" s="137">
        <f t="shared" si="44"/>
        <v>0</v>
      </c>
      <c r="AD137" s="137">
        <f t="shared" si="28"/>
        <v>0</v>
      </c>
      <c r="AE137" s="137">
        <f t="shared" si="29"/>
        <v>453600</v>
      </c>
      <c r="AF137" s="137">
        <f t="shared" si="30"/>
        <v>453600</v>
      </c>
      <c r="AG137" s="156">
        <f t="shared" si="43"/>
        <v>38800</v>
      </c>
      <c r="AH137" s="478"/>
    </row>
    <row r="138" spans="2:34" ht="15.75" hidden="1">
      <c r="B138" s="240" t="str">
        <f t="shared" si="40"/>
        <v>Multifan MF130 1.12 kW (50.5", 1.5 hp, 3 blade) CONE</v>
      </c>
      <c r="C138" s="241"/>
      <c r="D138" s="251"/>
      <c r="E138" s="244">
        <f t="shared" si="16"/>
        <v>37.5</v>
      </c>
      <c r="F138" s="157">
        <f t="shared" si="17"/>
        <v>38900</v>
      </c>
      <c r="G138" s="139">
        <f t="shared" si="18"/>
        <v>12</v>
      </c>
      <c r="H138" s="158">
        <f t="shared" si="39"/>
        <v>0</v>
      </c>
      <c r="I138" s="159">
        <f t="shared" si="19"/>
        <v>466800</v>
      </c>
      <c r="J138" s="160">
        <f t="shared" si="20"/>
        <v>17.600000000000001</v>
      </c>
      <c r="K138" s="143">
        <f t="shared" si="21"/>
        <v>7931.6</v>
      </c>
      <c r="L138" s="161">
        <f t="shared" si="22"/>
        <v>3.09</v>
      </c>
      <c r="M138" s="162">
        <f t="shared" si="32"/>
        <v>8.5237145600000019</v>
      </c>
      <c r="N138" s="77"/>
      <c r="O138" s="77"/>
      <c r="P138" s="77"/>
      <c r="Q138" s="77"/>
      <c r="R138" s="146">
        <f t="shared" si="23"/>
        <v>77.165354330708666</v>
      </c>
      <c r="S138" s="163">
        <f t="shared" si="24"/>
        <v>1559.1120000000001</v>
      </c>
      <c r="T138" s="164">
        <f t="shared" si="25"/>
        <v>2945.5079999999998</v>
      </c>
      <c r="U138" s="149">
        <f t="shared" si="26"/>
        <v>10680</v>
      </c>
      <c r="V138" s="165">
        <f t="shared" si="33"/>
        <v>39658</v>
      </c>
      <c r="W138" s="166">
        <f t="shared" si="34"/>
        <v>50338</v>
      </c>
      <c r="X138" s="167">
        <f t="shared" si="35"/>
        <v>79316</v>
      </c>
      <c r="Y138" s="168">
        <f t="shared" si="36"/>
        <v>89996</v>
      </c>
      <c r="Z138" s="169">
        <f t="shared" si="37"/>
        <v>1161.6000000000001</v>
      </c>
      <c r="AA138" s="170">
        <f t="shared" si="38"/>
        <v>11616.000000000002</v>
      </c>
      <c r="AB138" s="109"/>
      <c r="AC138" s="137">
        <f t="shared" si="44"/>
        <v>0</v>
      </c>
      <c r="AD138" s="137">
        <f t="shared" si="28"/>
        <v>0</v>
      </c>
      <c r="AE138" s="137">
        <f t="shared" si="29"/>
        <v>453600</v>
      </c>
      <c r="AF138" s="137">
        <f t="shared" si="30"/>
        <v>453600</v>
      </c>
      <c r="AG138" s="156">
        <f t="shared" si="43"/>
        <v>44100</v>
      </c>
      <c r="AH138" s="478"/>
    </row>
    <row r="139" spans="2:34" ht="15.75" hidden="1" customHeight="1">
      <c r="B139" s="600"/>
      <c r="C139" s="601"/>
      <c r="D139" s="602"/>
      <c r="E139" s="244" t="str">
        <f t="shared" si="16"/>
        <v/>
      </c>
      <c r="F139" s="157" t="str">
        <f t="shared" si="17"/>
        <v/>
      </c>
      <c r="G139" s="139" t="str">
        <f t="shared" si="18"/>
        <v/>
      </c>
      <c r="H139" s="158">
        <f t="shared" si="39"/>
        <v>0</v>
      </c>
      <c r="I139" s="159" t="str">
        <f t="shared" si="19"/>
        <v/>
      </c>
      <c r="J139" s="160" t="str">
        <f t="shared" si="20"/>
        <v/>
      </c>
      <c r="K139" s="143" t="str">
        <f t="shared" ref="K139:K147" si="45">+IF(I93="","",IF(H139&gt;0,ROUND((H139*(($F93)/(($I93)))/1000*$H$8*$H$6),-1),ROUND((G139*(($F93)/(($I93)))/1000*$H$8*$H$6),-1)))</f>
        <v/>
      </c>
      <c r="L139" s="161" t="str">
        <f t="shared" si="22"/>
        <v/>
      </c>
      <c r="M139" s="162" t="str">
        <f t="shared" si="32"/>
        <v/>
      </c>
      <c r="N139" s="77"/>
      <c r="O139" s="77"/>
      <c r="P139" s="77"/>
      <c r="Q139" s="77"/>
      <c r="R139" s="146" t="str">
        <f t="shared" si="23"/>
        <v/>
      </c>
      <c r="S139" s="163" t="str">
        <f t="shared" si="24"/>
        <v/>
      </c>
      <c r="T139" s="164" t="str">
        <f t="shared" si="25"/>
        <v/>
      </c>
      <c r="U139" s="149" t="str">
        <f t="shared" si="26"/>
        <v/>
      </c>
      <c r="V139" s="165" t="str">
        <f t="shared" si="33"/>
        <v/>
      </c>
      <c r="W139" s="166" t="str">
        <f t="shared" si="34"/>
        <v/>
      </c>
      <c r="X139" s="167" t="str">
        <f t="shared" si="35"/>
        <v/>
      </c>
      <c r="Y139" s="168" t="str">
        <f t="shared" si="36"/>
        <v/>
      </c>
      <c r="Z139" s="169" t="e">
        <f t="shared" si="37"/>
        <v>#VALUE!</v>
      </c>
      <c r="AA139" s="170" t="e">
        <f t="shared" si="38"/>
        <v>#VALUE!</v>
      </c>
      <c r="AB139" s="109"/>
      <c r="AC139" s="137" t="str">
        <f t="shared" si="44"/>
        <v/>
      </c>
      <c r="AD139" s="137" t="str">
        <f t="shared" si="28"/>
        <v/>
      </c>
      <c r="AE139" s="137">
        <f t="shared" si="29"/>
        <v>453600</v>
      </c>
      <c r="AF139" s="137">
        <f t="shared" si="30"/>
        <v>453600</v>
      </c>
      <c r="AG139" s="156">
        <f t="shared" si="43"/>
        <v>0</v>
      </c>
      <c r="AH139" s="478"/>
    </row>
    <row r="140" spans="2:34" ht="15.75" hidden="1">
      <c r="B140" s="252"/>
      <c r="C140" s="242"/>
      <c r="D140" s="253"/>
      <c r="E140" s="244" t="str">
        <f t="shared" si="16"/>
        <v/>
      </c>
      <c r="F140" s="157" t="str">
        <f t="shared" si="17"/>
        <v/>
      </c>
      <c r="G140" s="139" t="str">
        <f t="shared" si="18"/>
        <v/>
      </c>
      <c r="H140" s="158">
        <f t="shared" si="39"/>
        <v>0</v>
      </c>
      <c r="I140" s="159" t="str">
        <f t="shared" si="19"/>
        <v/>
      </c>
      <c r="J140" s="160" t="str">
        <f t="shared" si="20"/>
        <v/>
      </c>
      <c r="K140" s="143" t="str">
        <f t="shared" si="45"/>
        <v/>
      </c>
      <c r="L140" s="161" t="str">
        <f t="shared" si="22"/>
        <v/>
      </c>
      <c r="M140" s="162" t="str">
        <f t="shared" si="32"/>
        <v/>
      </c>
      <c r="N140" s="77"/>
      <c r="O140" s="77"/>
      <c r="P140" s="77"/>
      <c r="Q140" s="77"/>
      <c r="R140" s="146" t="str">
        <f t="shared" si="23"/>
        <v/>
      </c>
      <c r="S140" s="163" t="str">
        <f t="shared" si="24"/>
        <v/>
      </c>
      <c r="T140" s="164" t="str">
        <f t="shared" si="25"/>
        <v/>
      </c>
      <c r="U140" s="149" t="str">
        <f t="shared" si="26"/>
        <v/>
      </c>
      <c r="V140" s="165" t="str">
        <f t="shared" si="33"/>
        <v/>
      </c>
      <c r="W140" s="166" t="str">
        <f t="shared" si="34"/>
        <v/>
      </c>
      <c r="X140" s="167" t="str">
        <f t="shared" si="35"/>
        <v/>
      </c>
      <c r="Y140" s="168" t="str">
        <f t="shared" si="36"/>
        <v/>
      </c>
      <c r="Z140" s="169" t="e">
        <f t="shared" si="37"/>
        <v>#VALUE!</v>
      </c>
      <c r="AA140" s="170" t="e">
        <f t="shared" si="38"/>
        <v>#VALUE!</v>
      </c>
      <c r="AB140" s="109"/>
      <c r="AC140" s="137" t="str">
        <f t="shared" si="44"/>
        <v/>
      </c>
      <c r="AD140" s="137" t="str">
        <f t="shared" si="28"/>
        <v/>
      </c>
      <c r="AE140" s="137">
        <f t="shared" si="29"/>
        <v>453600</v>
      </c>
      <c r="AF140" s="137">
        <f t="shared" si="30"/>
        <v>453600</v>
      </c>
      <c r="AG140" s="156">
        <f t="shared" si="43"/>
        <v>0</v>
      </c>
      <c r="AH140" s="478"/>
    </row>
    <row r="141" spans="2:34" ht="15.75" hidden="1">
      <c r="B141" s="252"/>
      <c r="C141" s="242"/>
      <c r="D141" s="253"/>
      <c r="E141" s="244" t="str">
        <f t="shared" si="16"/>
        <v/>
      </c>
      <c r="F141" s="157" t="str">
        <f t="shared" si="17"/>
        <v/>
      </c>
      <c r="G141" s="139" t="str">
        <f t="shared" si="18"/>
        <v/>
      </c>
      <c r="H141" s="158">
        <f t="shared" si="39"/>
        <v>0</v>
      </c>
      <c r="I141" s="159" t="str">
        <f>+IF(F141="","",IF(H141&gt;0,ROUND(F141*H141,-2),ROUND(F141*G141,-2)))</f>
        <v/>
      </c>
      <c r="J141" s="160" t="str">
        <f t="shared" si="20"/>
        <v/>
      </c>
      <c r="K141" s="143" t="str">
        <f t="shared" si="45"/>
        <v/>
      </c>
      <c r="L141" s="161" t="str">
        <f t="shared" si="22"/>
        <v/>
      </c>
      <c r="M141" s="162" t="str">
        <f t="shared" si="32"/>
        <v/>
      </c>
      <c r="N141" s="77"/>
      <c r="O141" s="77"/>
      <c r="P141" s="77"/>
      <c r="Q141" s="77"/>
      <c r="R141" s="146" t="str">
        <f t="shared" si="23"/>
        <v/>
      </c>
      <c r="S141" s="163" t="str">
        <f t="shared" si="24"/>
        <v/>
      </c>
      <c r="T141" s="164" t="str">
        <f t="shared" si="25"/>
        <v/>
      </c>
      <c r="U141" s="149" t="str">
        <f t="shared" si="26"/>
        <v/>
      </c>
      <c r="V141" s="165" t="str">
        <f>+IF(K141="","",K141*5)</f>
        <v/>
      </c>
      <c r="W141" s="166" t="str">
        <f>IF(U141="","",+U141+V141)</f>
        <v/>
      </c>
      <c r="X141" s="167" t="str">
        <f>+IF(V141="","",V141*2)</f>
        <v/>
      </c>
      <c r="Y141" s="168" t="str">
        <f>+IF(U141="","",X141+U141)</f>
        <v/>
      </c>
      <c r="Z141" s="169" t="e">
        <f t="shared" si="37"/>
        <v>#VALUE!</v>
      </c>
      <c r="AA141" s="170" t="e">
        <f t="shared" si="38"/>
        <v>#VALUE!</v>
      </c>
      <c r="AB141" s="109"/>
      <c r="AC141" s="137" t="str">
        <f t="shared" si="44"/>
        <v/>
      </c>
      <c r="AD141" s="137" t="str">
        <f t="shared" si="28"/>
        <v/>
      </c>
      <c r="AE141" s="137">
        <f t="shared" si="29"/>
        <v>453600</v>
      </c>
      <c r="AF141" s="137">
        <f t="shared" si="30"/>
        <v>453600</v>
      </c>
      <c r="AG141" s="156">
        <f t="shared" si="43"/>
        <v>0</v>
      </c>
      <c r="AH141" s="478"/>
    </row>
    <row r="142" spans="2:34" ht="15.75" hidden="1">
      <c r="B142" s="252"/>
      <c r="C142" s="242"/>
      <c r="D142" s="253"/>
      <c r="E142" s="244" t="str">
        <f t="shared" si="16"/>
        <v/>
      </c>
      <c r="F142" s="157" t="str">
        <f t="shared" si="17"/>
        <v/>
      </c>
      <c r="G142" s="139" t="str">
        <f t="shared" si="18"/>
        <v/>
      </c>
      <c r="H142" s="158">
        <f t="shared" si="39"/>
        <v>0</v>
      </c>
      <c r="I142" s="159" t="str">
        <f>+IF(F142="","",IF(H142&gt;0,ROUND(F142*H142,-2),ROUND(F142*G142,-2)))</f>
        <v/>
      </c>
      <c r="J142" s="160" t="str">
        <f t="shared" si="20"/>
        <v/>
      </c>
      <c r="K142" s="143" t="str">
        <f t="shared" si="45"/>
        <v/>
      </c>
      <c r="L142" s="161" t="str">
        <f t="shared" si="22"/>
        <v/>
      </c>
      <c r="M142" s="162" t="str">
        <f t="shared" si="32"/>
        <v/>
      </c>
      <c r="N142" s="77"/>
      <c r="O142" s="77"/>
      <c r="P142" s="77"/>
      <c r="Q142" s="77"/>
      <c r="R142" s="146" t="str">
        <f t="shared" si="23"/>
        <v/>
      </c>
      <c r="S142" s="163" t="str">
        <f t="shared" si="24"/>
        <v/>
      </c>
      <c r="T142" s="164" t="str">
        <f t="shared" si="25"/>
        <v/>
      </c>
      <c r="U142" s="149" t="str">
        <f t="shared" si="26"/>
        <v/>
      </c>
      <c r="V142" s="165" t="str">
        <f>+IF(K142="","",K142*5)</f>
        <v/>
      </c>
      <c r="W142" s="166" t="str">
        <f>IF(U142="","",+U142+V142)</f>
        <v/>
      </c>
      <c r="X142" s="167" t="str">
        <f>+IF(V142="","",V142*2)</f>
        <v/>
      </c>
      <c r="Y142" s="168" t="str">
        <f>+IF(U142="","",X142+U142)</f>
        <v/>
      </c>
      <c r="Z142" s="169" t="e">
        <f t="shared" si="37"/>
        <v>#VALUE!</v>
      </c>
      <c r="AA142" s="170" t="e">
        <f t="shared" si="38"/>
        <v>#VALUE!</v>
      </c>
      <c r="AB142" s="109"/>
      <c r="AC142" s="137" t="str">
        <f t="shared" si="44"/>
        <v/>
      </c>
      <c r="AD142" s="137" t="str">
        <f t="shared" si="28"/>
        <v/>
      </c>
      <c r="AE142" s="137">
        <f t="shared" si="29"/>
        <v>453600</v>
      </c>
      <c r="AF142" s="137">
        <f t="shared" si="30"/>
        <v>453600</v>
      </c>
      <c r="AG142" s="156">
        <f t="shared" si="43"/>
        <v>0</v>
      </c>
      <c r="AH142" s="478"/>
    </row>
    <row r="143" spans="2:34" ht="15.75" hidden="1">
      <c r="B143" s="252"/>
      <c r="C143" s="242"/>
      <c r="D143" s="253"/>
      <c r="E143" s="244" t="str">
        <f t="shared" si="16"/>
        <v/>
      </c>
      <c r="F143" s="157" t="str">
        <f t="shared" si="17"/>
        <v/>
      </c>
      <c r="G143" s="139" t="str">
        <f t="shared" si="18"/>
        <v/>
      </c>
      <c r="H143" s="158">
        <f t="shared" si="39"/>
        <v>0</v>
      </c>
      <c r="I143" s="159" t="str">
        <f t="shared" si="19"/>
        <v/>
      </c>
      <c r="J143" s="160" t="str">
        <f t="shared" si="20"/>
        <v/>
      </c>
      <c r="K143" s="143" t="str">
        <f t="shared" si="45"/>
        <v/>
      </c>
      <c r="L143" s="161" t="str">
        <f t="shared" si="22"/>
        <v/>
      </c>
      <c r="M143" s="162" t="str">
        <f t="shared" si="32"/>
        <v/>
      </c>
      <c r="N143" s="77"/>
      <c r="O143" s="77"/>
      <c r="P143" s="77"/>
      <c r="Q143" s="77"/>
      <c r="R143" s="146" t="str">
        <f t="shared" si="23"/>
        <v/>
      </c>
      <c r="S143" s="163" t="str">
        <f t="shared" si="24"/>
        <v/>
      </c>
      <c r="T143" s="164" t="str">
        <f t="shared" si="25"/>
        <v/>
      </c>
      <c r="U143" s="149" t="str">
        <f t="shared" si="26"/>
        <v/>
      </c>
      <c r="V143" s="165" t="str">
        <f t="shared" si="33"/>
        <v/>
      </c>
      <c r="W143" s="166" t="str">
        <f t="shared" si="34"/>
        <v/>
      </c>
      <c r="X143" s="167" t="str">
        <f t="shared" si="35"/>
        <v/>
      </c>
      <c r="Y143" s="168" t="str">
        <f t="shared" si="36"/>
        <v/>
      </c>
      <c r="Z143" s="169" t="e">
        <f t="shared" si="37"/>
        <v>#VALUE!</v>
      </c>
      <c r="AA143" s="170" t="e">
        <f t="shared" si="38"/>
        <v>#VALUE!</v>
      </c>
      <c r="AB143" s="109"/>
      <c r="AC143" s="137" t="str">
        <f t="shared" si="44"/>
        <v/>
      </c>
      <c r="AD143" s="137" t="str">
        <f t="shared" si="28"/>
        <v/>
      </c>
      <c r="AE143" s="137">
        <f t="shared" si="29"/>
        <v>453600</v>
      </c>
      <c r="AF143" s="137">
        <f t="shared" si="30"/>
        <v>453600</v>
      </c>
      <c r="AG143" s="156">
        <f t="shared" si="43"/>
        <v>0</v>
      </c>
      <c r="AH143" s="478"/>
    </row>
    <row r="144" spans="2:34" ht="15.75" hidden="1">
      <c r="B144" s="252"/>
      <c r="C144" s="242"/>
      <c r="D144" s="253"/>
      <c r="E144" s="245" t="str">
        <f t="shared" si="16"/>
        <v/>
      </c>
      <c r="F144" s="171" t="str">
        <f t="shared" si="17"/>
        <v/>
      </c>
      <c r="G144" s="172" t="str">
        <f t="shared" si="18"/>
        <v/>
      </c>
      <c r="H144" s="158">
        <f t="shared" si="39"/>
        <v>0</v>
      </c>
      <c r="I144" s="173" t="str">
        <f>+IF(F144="","",IF(H144&gt;0,ROUND(F144*H144,-2),ROUND(F144*G144,-2)))</f>
        <v/>
      </c>
      <c r="J144" s="160" t="str">
        <f t="shared" si="20"/>
        <v/>
      </c>
      <c r="K144" s="174" t="str">
        <f t="shared" si="45"/>
        <v/>
      </c>
      <c r="L144" s="175" t="str">
        <f t="shared" si="22"/>
        <v/>
      </c>
      <c r="M144" s="176" t="str">
        <f t="shared" si="32"/>
        <v/>
      </c>
      <c r="N144" s="77"/>
      <c r="O144" s="77"/>
      <c r="P144" s="77"/>
      <c r="Q144" s="77"/>
      <c r="R144" s="177" t="str">
        <f t="shared" si="23"/>
        <v/>
      </c>
      <c r="S144" s="178" t="str">
        <f t="shared" si="24"/>
        <v/>
      </c>
      <c r="T144" s="179" t="str">
        <f t="shared" si="25"/>
        <v/>
      </c>
      <c r="U144" s="180" t="str">
        <f t="shared" si="26"/>
        <v/>
      </c>
      <c r="V144" s="181" t="str">
        <f>+IF(K144="","",K144*5)</f>
        <v/>
      </c>
      <c r="W144" s="182" t="str">
        <f>IF(U144="","",+U144+V144)</f>
        <v/>
      </c>
      <c r="X144" s="183" t="str">
        <f>+IF(V144="","",V144*2)</f>
        <v/>
      </c>
      <c r="Y144" s="184" t="str">
        <f>+IF(U144="","",X144+U144)</f>
        <v/>
      </c>
      <c r="Z144" s="169" t="e">
        <f t="shared" si="37"/>
        <v>#VALUE!</v>
      </c>
      <c r="AA144" s="170" t="e">
        <f t="shared" si="38"/>
        <v>#VALUE!</v>
      </c>
      <c r="AB144" s="109"/>
      <c r="AC144" s="137" t="str">
        <f>+IF(I98="","",IF(I98&gt;=37.38,4,IF(I98&gt;=35.68,3,IF(I98&gt;=33.98,2,IF(I98&gt;=32.28,1,0)))))</f>
        <v/>
      </c>
      <c r="AD144" s="137" t="str">
        <f t="shared" si="28"/>
        <v/>
      </c>
      <c r="AE144" s="137">
        <f t="shared" si="29"/>
        <v>453600</v>
      </c>
      <c r="AF144" s="137">
        <f t="shared" si="30"/>
        <v>453600</v>
      </c>
      <c r="AG144" s="156">
        <f t="shared" si="43"/>
        <v>0</v>
      </c>
      <c r="AH144" s="478"/>
    </row>
    <row r="145" spans="2:34" ht="15.75" hidden="1">
      <c r="B145" s="252"/>
      <c r="C145" s="242"/>
      <c r="D145" s="253"/>
      <c r="E145" s="245" t="str">
        <f t="shared" si="16"/>
        <v/>
      </c>
      <c r="F145" s="171" t="str">
        <f t="shared" si="17"/>
        <v/>
      </c>
      <c r="G145" s="172" t="str">
        <f t="shared" si="18"/>
        <v/>
      </c>
      <c r="H145" s="158">
        <f t="shared" si="39"/>
        <v>0</v>
      </c>
      <c r="I145" s="173" t="str">
        <f>+IF(F145="","",IF(H145&gt;0,ROUND(F145*H145,-2),ROUND(F145*G145,-2)))</f>
        <v/>
      </c>
      <c r="J145" s="160" t="str">
        <f t="shared" si="20"/>
        <v/>
      </c>
      <c r="K145" s="174" t="str">
        <f t="shared" si="45"/>
        <v/>
      </c>
      <c r="L145" s="175" t="str">
        <f t="shared" si="22"/>
        <v/>
      </c>
      <c r="M145" s="176" t="str">
        <f t="shared" si="32"/>
        <v/>
      </c>
      <c r="N145" s="77"/>
      <c r="O145" s="77"/>
      <c r="P145" s="77"/>
      <c r="Q145" s="77"/>
      <c r="R145" s="177" t="str">
        <f t="shared" si="23"/>
        <v/>
      </c>
      <c r="S145" s="178" t="str">
        <f t="shared" si="24"/>
        <v/>
      </c>
      <c r="T145" s="179" t="str">
        <f t="shared" si="25"/>
        <v/>
      </c>
      <c r="U145" s="180" t="str">
        <f t="shared" si="26"/>
        <v/>
      </c>
      <c r="V145" s="181" t="str">
        <f>+IF(K145="","",K145*5)</f>
        <v/>
      </c>
      <c r="W145" s="182" t="str">
        <f>IF(U145="","",+U145+V145)</f>
        <v/>
      </c>
      <c r="X145" s="183" t="str">
        <f>+IF(V145="","",V145*2)</f>
        <v/>
      </c>
      <c r="Y145" s="184" t="str">
        <f>+IF(U145="","",X145+U145)</f>
        <v/>
      </c>
      <c r="Z145" s="169" t="e">
        <f t="shared" si="37"/>
        <v>#VALUE!</v>
      </c>
      <c r="AA145" s="170" t="e">
        <f t="shared" si="38"/>
        <v>#VALUE!</v>
      </c>
      <c r="AB145" s="109"/>
      <c r="AC145" s="137" t="str">
        <f>+IF(I99="","",IF(I99&gt;=37.38,4,IF(I99&gt;=35.68,3,IF(I99&gt;=33.98,2,IF(I99&gt;=32.28,1,0)))))</f>
        <v/>
      </c>
      <c r="AD145" s="137" t="str">
        <f t="shared" si="28"/>
        <v/>
      </c>
      <c r="AE145" s="137">
        <f t="shared" si="29"/>
        <v>453600</v>
      </c>
      <c r="AF145" s="137">
        <f t="shared" si="30"/>
        <v>453600</v>
      </c>
      <c r="AG145" s="156">
        <f t="shared" si="43"/>
        <v>0</v>
      </c>
      <c r="AH145" s="478"/>
    </row>
    <row r="146" spans="2:34" ht="15.75" hidden="1">
      <c r="B146" s="252"/>
      <c r="C146" s="242"/>
      <c r="D146" s="253"/>
      <c r="E146" s="245" t="str">
        <f t="shared" si="16"/>
        <v/>
      </c>
      <c r="F146" s="171" t="str">
        <f t="shared" si="17"/>
        <v/>
      </c>
      <c r="G146" s="172" t="str">
        <f t="shared" si="18"/>
        <v/>
      </c>
      <c r="H146" s="158">
        <f t="shared" si="39"/>
        <v>0</v>
      </c>
      <c r="I146" s="173" t="str">
        <f>+IF(F146="","",IF(H146&gt;0,ROUND(F146*H146,-2),ROUND(F146*G146,-2)))</f>
        <v/>
      </c>
      <c r="J146" s="160" t="str">
        <f t="shared" si="20"/>
        <v/>
      </c>
      <c r="K146" s="174" t="str">
        <f t="shared" si="45"/>
        <v/>
      </c>
      <c r="L146" s="175" t="str">
        <f t="shared" si="22"/>
        <v/>
      </c>
      <c r="M146" s="176" t="str">
        <f t="shared" si="32"/>
        <v/>
      </c>
      <c r="N146" s="77"/>
      <c r="O146" s="77"/>
      <c r="P146" s="77"/>
      <c r="Q146" s="77"/>
      <c r="R146" s="177" t="str">
        <f t="shared" si="23"/>
        <v/>
      </c>
      <c r="S146" s="178" t="str">
        <f t="shared" si="24"/>
        <v/>
      </c>
      <c r="T146" s="179" t="str">
        <f t="shared" si="25"/>
        <v/>
      </c>
      <c r="U146" s="180" t="str">
        <f t="shared" si="26"/>
        <v/>
      </c>
      <c r="V146" s="181" t="str">
        <f>+IF(K146="","",K146*5)</f>
        <v/>
      </c>
      <c r="W146" s="182" t="str">
        <f>IF(U146="","",+U146+V146)</f>
        <v/>
      </c>
      <c r="X146" s="183" t="str">
        <f>+IF(V146="","",V146*2)</f>
        <v/>
      </c>
      <c r="Y146" s="184" t="str">
        <f>+IF(U146="","",X146+U146)</f>
        <v/>
      </c>
      <c r="Z146" s="169" t="e">
        <f t="shared" si="37"/>
        <v>#VALUE!</v>
      </c>
      <c r="AA146" s="170" t="e">
        <f t="shared" si="38"/>
        <v>#VALUE!</v>
      </c>
      <c r="AB146" s="109"/>
      <c r="AC146" s="137" t="str">
        <f>+IF(I100="","",IF(I100&gt;=37.38,4,IF(I100&gt;=35.68,3,IF(I100&gt;=33.98,2,IF(I100&gt;=32.28,1,0)))))</f>
        <v/>
      </c>
      <c r="AD146" s="137" t="str">
        <f t="shared" si="28"/>
        <v/>
      </c>
      <c r="AE146" s="137">
        <f t="shared" si="29"/>
        <v>453600</v>
      </c>
      <c r="AF146" s="137">
        <f t="shared" si="30"/>
        <v>453600</v>
      </c>
      <c r="AG146" s="156">
        <f t="shared" si="43"/>
        <v>0</v>
      </c>
      <c r="AH146" s="478"/>
    </row>
    <row r="147" spans="2:34" ht="16.5" hidden="1" thickBot="1">
      <c r="B147" s="254"/>
      <c r="C147" s="255"/>
      <c r="D147" s="256"/>
      <c r="E147" s="246" t="str">
        <f t="shared" si="16"/>
        <v/>
      </c>
      <c r="F147" s="185" t="str">
        <f t="shared" si="17"/>
        <v/>
      </c>
      <c r="G147" s="186" t="str">
        <f t="shared" si="18"/>
        <v/>
      </c>
      <c r="H147" s="158">
        <f t="shared" si="39"/>
        <v>0</v>
      </c>
      <c r="I147" s="187" t="str">
        <f>+IF(F147="","",IF(H147&gt;0,ROUND(F147*H147,-2),ROUND(F147*G147,-2)))</f>
        <v/>
      </c>
      <c r="J147" s="188" t="str">
        <f t="shared" si="20"/>
        <v/>
      </c>
      <c r="K147" s="189" t="str">
        <f t="shared" si="45"/>
        <v/>
      </c>
      <c r="L147" s="190" t="str">
        <f t="shared" si="22"/>
        <v/>
      </c>
      <c r="M147" s="191" t="str">
        <f t="shared" si="32"/>
        <v/>
      </c>
      <c r="N147" s="77"/>
      <c r="O147" s="77"/>
      <c r="P147" s="77"/>
      <c r="Q147" s="77"/>
      <c r="R147" s="192" t="str">
        <f t="shared" si="23"/>
        <v/>
      </c>
      <c r="S147" s="193" t="str">
        <f t="shared" si="24"/>
        <v/>
      </c>
      <c r="T147" s="194" t="str">
        <f t="shared" si="25"/>
        <v/>
      </c>
      <c r="U147" s="195" t="str">
        <f t="shared" si="26"/>
        <v/>
      </c>
      <c r="V147" s="196" t="str">
        <f>+IF(K147="","",K147*5)</f>
        <v/>
      </c>
      <c r="W147" s="197" t="str">
        <f>IF(U147="","",+U147+V147)</f>
        <v/>
      </c>
      <c r="X147" s="198" t="str">
        <f>+IF(V147="","",V147*2)</f>
        <v/>
      </c>
      <c r="Y147" s="199" t="str">
        <f>+IF(U147="","",X147+U147)</f>
        <v/>
      </c>
      <c r="Z147" s="200" t="e">
        <f t="shared" si="37"/>
        <v>#VALUE!</v>
      </c>
      <c r="AA147" s="201" t="e">
        <f t="shared" si="38"/>
        <v>#VALUE!</v>
      </c>
      <c r="AB147" s="109"/>
      <c r="AC147" s="137" t="str">
        <f>+IF(I101="","",IF(I101&gt;=37.38,4,IF(I101&gt;=35.68,3,IF(I101&gt;=33.98,2,IF(I101&gt;=32.28,1,0)))))</f>
        <v/>
      </c>
      <c r="AD147" s="137" t="str">
        <f t="shared" si="28"/>
        <v/>
      </c>
      <c r="AE147" s="137">
        <f t="shared" si="29"/>
        <v>453600</v>
      </c>
      <c r="AF147" s="137">
        <f t="shared" si="30"/>
        <v>453600</v>
      </c>
      <c r="AG147" s="156">
        <f t="shared" si="43"/>
        <v>0</v>
      </c>
      <c r="AH147" s="478"/>
    </row>
    <row r="148" spans="2:34" ht="15.75" hidden="1">
      <c r="B148" s="202"/>
      <c r="C148" s="202"/>
      <c r="D148" s="202"/>
      <c r="E148" s="203"/>
      <c r="F148" s="204"/>
      <c r="G148" s="205"/>
      <c r="H148" s="206"/>
      <c r="I148" s="207"/>
      <c r="J148" s="208"/>
      <c r="K148" s="209"/>
      <c r="L148" s="210"/>
      <c r="M148" s="211"/>
      <c r="N148" s="210"/>
      <c r="O148" s="225"/>
      <c r="P148" s="210"/>
      <c r="Q148" s="226"/>
      <c r="R148" s="212"/>
      <c r="S148" s="213"/>
      <c r="T148" s="214"/>
      <c r="U148" s="215"/>
      <c r="V148" s="216"/>
      <c r="W148" s="214"/>
      <c r="X148" s="214"/>
      <c r="Y148" s="217"/>
      <c r="Z148" s="217"/>
      <c r="AA148" s="108"/>
      <c r="AB148" s="109"/>
      <c r="AC148" s="137"/>
      <c r="AD148" s="137"/>
      <c r="AE148" s="137"/>
      <c r="AF148" s="156"/>
      <c r="AG148" s="109"/>
      <c r="AH148" s="478"/>
    </row>
    <row r="149" spans="2:34" ht="15.75" hidden="1">
      <c r="B149" s="218"/>
      <c r="C149" s="218"/>
      <c r="D149" s="218"/>
      <c r="E149" s="218"/>
      <c r="F149" s="202"/>
      <c r="G149" s="202"/>
      <c r="H149" s="202"/>
      <c r="I149" s="202"/>
      <c r="J149" s="219"/>
      <c r="K149" s="219"/>
      <c r="L149" s="108"/>
      <c r="M149" s="108"/>
      <c r="N149" s="225"/>
      <c r="O149" s="225"/>
      <c r="P149" s="225"/>
      <c r="Q149" s="225"/>
      <c r="R149" s="108"/>
      <c r="S149" s="108"/>
      <c r="T149" s="108"/>
      <c r="U149" s="108"/>
      <c r="V149" s="108"/>
      <c r="W149" s="108"/>
      <c r="X149" s="108"/>
      <c r="Y149" s="108"/>
      <c r="Z149" s="108"/>
      <c r="AA149" s="108"/>
      <c r="AB149" s="109"/>
      <c r="AC149" s="109"/>
      <c r="AD149" s="109"/>
      <c r="AE149" s="109"/>
      <c r="AF149" s="109"/>
      <c r="AG149" s="109"/>
      <c r="AH149" s="478"/>
    </row>
    <row r="150" spans="2:34" ht="16.5" hidden="1" thickBot="1">
      <c r="B150" s="218"/>
      <c r="C150" s="218"/>
      <c r="D150" s="218"/>
      <c r="E150" s="218"/>
      <c r="F150" s="202"/>
      <c r="G150" s="202"/>
      <c r="H150" s="202"/>
      <c r="I150" s="202"/>
      <c r="J150" s="220"/>
      <c r="K150" s="220"/>
      <c r="L150" s="108"/>
      <c r="M150" s="108"/>
      <c r="N150" s="225"/>
      <c r="O150" s="225"/>
      <c r="P150" s="225"/>
      <c r="Q150" s="225"/>
      <c r="R150" s="108"/>
      <c r="S150" s="108"/>
      <c r="T150" s="108"/>
      <c r="U150" s="108"/>
      <c r="V150" s="108"/>
      <c r="W150" s="108"/>
      <c r="X150" s="108"/>
      <c r="Y150" s="108"/>
      <c r="Z150" s="108"/>
      <c r="AA150" s="108"/>
      <c r="AB150" s="109"/>
      <c r="AC150" s="109"/>
      <c r="AD150" s="109"/>
      <c r="AE150" s="109"/>
      <c r="AF150" s="109"/>
      <c r="AG150" s="109"/>
      <c r="AH150" s="478"/>
    </row>
    <row r="151" spans="2:34" ht="15.75" hidden="1">
      <c r="B151" s="463" t="s">
        <v>177</v>
      </c>
      <c r="C151" s="464"/>
      <c r="D151" s="465"/>
      <c r="E151" s="462" t="s">
        <v>8</v>
      </c>
      <c r="F151" s="454" t="s">
        <v>9</v>
      </c>
      <c r="G151" s="455" t="s">
        <v>10</v>
      </c>
      <c r="H151" s="455" t="s">
        <v>81</v>
      </c>
      <c r="I151" s="455" t="s">
        <v>11</v>
      </c>
      <c r="J151" s="455" t="s">
        <v>84</v>
      </c>
      <c r="K151" s="455" t="s">
        <v>12</v>
      </c>
      <c r="L151" s="455" t="s">
        <v>83</v>
      </c>
      <c r="M151" s="456" t="s">
        <v>80</v>
      </c>
      <c r="N151" s="225"/>
      <c r="O151" s="225"/>
      <c r="P151" s="225"/>
      <c r="Q151" s="225"/>
      <c r="R151" s="119" t="s">
        <v>18</v>
      </c>
      <c r="S151" s="120" t="s">
        <v>19</v>
      </c>
      <c r="T151" s="121" t="s">
        <v>19</v>
      </c>
      <c r="U151" s="122"/>
      <c r="V151" s="598" t="s">
        <v>20</v>
      </c>
      <c r="W151" s="599"/>
      <c r="X151" s="598" t="s">
        <v>21</v>
      </c>
      <c r="Y151" s="599"/>
      <c r="Z151" s="596" t="s">
        <v>139</v>
      </c>
      <c r="AA151" s="597"/>
      <c r="AB151" s="109"/>
      <c r="AC151" s="482" t="s">
        <v>0</v>
      </c>
      <c r="AD151" s="482" t="s">
        <v>1</v>
      </c>
      <c r="AE151" s="482" t="s">
        <v>45</v>
      </c>
      <c r="AF151" s="482" t="s">
        <v>3</v>
      </c>
      <c r="AG151" s="114" t="s">
        <v>33</v>
      </c>
      <c r="AH151" s="479"/>
    </row>
    <row r="152" spans="2:34" ht="32.25" hidden="1" thickBot="1">
      <c r="B152" s="466"/>
      <c r="C152" s="467"/>
      <c r="D152" s="468"/>
      <c r="E152" s="457" t="s">
        <v>13</v>
      </c>
      <c r="F152" s="458" t="s">
        <v>14</v>
      </c>
      <c r="G152" s="459" t="s">
        <v>15</v>
      </c>
      <c r="H152" s="459" t="s">
        <v>82</v>
      </c>
      <c r="I152" s="459" t="s">
        <v>16</v>
      </c>
      <c r="J152" s="460" t="s">
        <v>85</v>
      </c>
      <c r="K152" s="460" t="s">
        <v>86</v>
      </c>
      <c r="L152" s="459" t="s">
        <v>17</v>
      </c>
      <c r="M152" s="461" t="s">
        <v>17</v>
      </c>
      <c r="N152" s="225"/>
      <c r="O152" s="225"/>
      <c r="P152" s="225"/>
      <c r="Q152" s="225"/>
      <c r="R152" s="129" t="s">
        <v>30</v>
      </c>
      <c r="S152" s="113" t="s">
        <v>31</v>
      </c>
      <c r="T152" s="130" t="s">
        <v>32</v>
      </c>
      <c r="U152" s="131" t="s">
        <v>42</v>
      </c>
      <c r="V152" s="132" t="s">
        <v>43</v>
      </c>
      <c r="W152" s="133" t="s">
        <v>44</v>
      </c>
      <c r="X152" s="134" t="str">
        <f>+V152</f>
        <v>Electricity</v>
      </c>
      <c r="Y152" s="133" t="str">
        <f>+W152</f>
        <v>Total</v>
      </c>
      <c r="Z152" s="135" t="s">
        <v>140</v>
      </c>
      <c r="AA152" s="136" t="s">
        <v>141</v>
      </c>
      <c r="AB152" s="109"/>
      <c r="AC152" s="482" t="s">
        <v>2</v>
      </c>
      <c r="AD152" s="482" t="s">
        <v>2</v>
      </c>
      <c r="AE152" s="137"/>
      <c r="AF152" s="137"/>
      <c r="AG152" s="114" t="s">
        <v>34</v>
      </c>
      <c r="AH152" s="479"/>
    </row>
    <row r="153" spans="2:34" ht="15.75" hidden="1">
      <c r="B153" s="262" t="str">
        <f t="shared" ref="B153:B165" si="46">IF(B63="","",B63)</f>
        <v>Custom Fan 1</v>
      </c>
      <c r="C153" s="60"/>
      <c r="D153" s="263"/>
      <c r="E153" s="243">
        <f t="shared" ref="E153:E191" si="47">IF(B153="","",IF($H$9&gt;3.65,50,IF($H$9&gt;=3,37.5, IF($H$9&gt;=2.25,25,IF($H$9&gt;=1.5,12.5,0.05)))))</f>
        <v>37.5</v>
      </c>
      <c r="F153" s="138">
        <f t="shared" ref="F153:F184" si="48">IF(E153="","",IF($H$9&gt;3.65,H63,IF($H$9&gt;=3,G63, IF($H$9&gt;=2.25,F63,IF($H$9&gt;=1.5,E63,E63)))))</f>
        <v>0</v>
      </c>
      <c r="G153" s="139" t="e">
        <f t="shared" ref="G153:G182" si="49">+IF(B63="","",ROUNDUP(AF153/F153,0))</f>
        <v>#DIV/0!</v>
      </c>
      <c r="H153" s="140">
        <v>0</v>
      </c>
      <c r="I153" s="141" t="e">
        <f t="shared" ref="I153:I184" si="50">+IF(F153="","",IF(H153&gt;0,ROUND(F153*H153,-2),ROUND(F153*G153,-2)))</f>
        <v>#DIV/0!</v>
      </c>
      <c r="J153" s="160" t="e">
        <f t="shared" ref="J153:J184" si="51">+IF(I63="","",IF(H153&gt;0,ROUND((H153*(($F63)/(($I63)))/1000),1),ROUND((G153*(($F63)/(($I63)))/1000),1)))</f>
        <v>#DIV/0!</v>
      </c>
      <c r="K153" s="143" t="e">
        <f t="shared" ref="K153:K184" si="52">+IF(I63="","",IF(H153&gt;0,ROUND((H153*(($F63)/(($I63)))/1000*$H$8*$H$6),-1),ROUND((G153*(($F63)/(($I63)))/1000*$H$8*$H$6),-1)))+Z153</f>
        <v>#DIV/0!</v>
      </c>
      <c r="L153" s="144" t="e">
        <f t="shared" ref="L153:L191" si="53">+IF(I153="","",ROUND((I153/($C$7*($C$8+$C$9)/2)/3600),2))</f>
        <v>#DIV/0!</v>
      </c>
      <c r="M153" s="145" t="e">
        <f>IF(L153="","",IF(L153&gt;3.302,0.8676*3.302^2+0.0787*3.302-0.0034,0.8676*L153^2+0.0787*L153-0.0034))</f>
        <v>#DIV/0!</v>
      </c>
      <c r="N153" s="77"/>
      <c r="O153" s="77"/>
      <c r="P153" s="77"/>
      <c r="Q153" s="77"/>
      <c r="R153" s="146" t="e">
        <f t="shared" ref="R153:R191" si="54">+IF(B153="","",IF(H153&gt;0,H153*AG153/6858,G153*AG153/6858))</f>
        <v>#DIV/0!</v>
      </c>
      <c r="S153" s="147" t="e">
        <f t="shared" ref="S153:S191" si="55">+IF(B153="","",I153*0.00334)</f>
        <v>#DIV/0!</v>
      </c>
      <c r="T153" s="148" t="e">
        <f t="shared" ref="T153:T191" si="56">+IF(B153="","",I153*0.00631)</f>
        <v>#DIV/0!</v>
      </c>
      <c r="U153" s="149" t="e">
        <f t="shared" ref="U153:U184" si="57">IF(J63="","",IF(H153&gt;0,J63*H153,J63*G153))</f>
        <v>#DIV/0!</v>
      </c>
      <c r="V153" s="150" t="e">
        <f>+IF(K153="","",K153*5)</f>
        <v>#DIV/0!</v>
      </c>
      <c r="W153" s="151" t="e">
        <f>IF(U153="","",+U153+V153)</f>
        <v>#DIV/0!</v>
      </c>
      <c r="X153" s="152" t="e">
        <f>+IF(V153="","",V153*2)</f>
        <v>#DIV/0!</v>
      </c>
      <c r="Y153" s="153" t="e">
        <f>+IF(U153="","",X153+U153)</f>
        <v>#DIV/0!</v>
      </c>
      <c r="Z153" s="154" t="e">
        <f>(J153*$H$7)*5.5</f>
        <v>#DIV/0!</v>
      </c>
      <c r="AA153" s="155" t="e">
        <f>Z153*10</f>
        <v>#DIV/0!</v>
      </c>
      <c r="AB153" s="109"/>
      <c r="AC153" s="137">
        <f t="shared" ref="AC153:AC168" si="58">+IF(I63="","",IF(I63&gt;=37.38,4,IF(I63&gt;=35.68,3,IF(I63&gt;=33.98,2,IF(I63&gt;=32.28,1,0)))))</f>
        <v>0</v>
      </c>
      <c r="AD153" s="137">
        <f t="shared" ref="AD153:AD168" si="59">+IF(OR(H107="",E107=""),"",IF(N153&gt;0.82,4,IF(N153&gt;0.77,3,IF(N153&gt;0.72,2,IF(N153&gt;=0.7,1,0)))))</f>
        <v>0</v>
      </c>
      <c r="AE153" s="137">
        <f t="shared" ref="AE153:AE191" si="60">+($C$8+$C$9)/2*$C$7*$H$9*3600</f>
        <v>453600</v>
      </c>
      <c r="AF153" s="137">
        <f t="shared" ref="AF153:AF191" si="61">+IF(AE153&gt;$AF$106,AE153,$AF$106)</f>
        <v>453600</v>
      </c>
      <c r="AG153" s="156">
        <f t="shared" ref="AG153:AG168" si="62">IF($H$9&gt;3.556,G63,IF($H$9&gt;=3.048,F63, IF($H$9&gt;=2.286,E63,IF($H$9&gt;=1.524,E63,E63))))</f>
        <v>0</v>
      </c>
      <c r="AH153" s="479"/>
    </row>
    <row r="154" spans="2:34" ht="15.75" hidden="1">
      <c r="B154" s="264" t="str">
        <f t="shared" si="46"/>
        <v>Custom Fan 2</v>
      </c>
      <c r="C154" s="269"/>
      <c r="D154" s="269"/>
      <c r="E154" s="244">
        <f t="shared" si="47"/>
        <v>37.5</v>
      </c>
      <c r="F154" s="260">
        <f t="shared" si="48"/>
        <v>0</v>
      </c>
      <c r="G154" s="139" t="e">
        <f t="shared" si="49"/>
        <v>#DIV/0!</v>
      </c>
      <c r="H154" s="158">
        <v>0</v>
      </c>
      <c r="I154" s="159" t="e">
        <f t="shared" si="50"/>
        <v>#DIV/0!</v>
      </c>
      <c r="J154" s="160" t="e">
        <f t="shared" si="51"/>
        <v>#DIV/0!</v>
      </c>
      <c r="K154" s="143" t="e">
        <f t="shared" si="52"/>
        <v>#DIV/0!</v>
      </c>
      <c r="L154" s="161" t="e">
        <f t="shared" si="53"/>
        <v>#DIV/0!</v>
      </c>
      <c r="M154" s="273" t="e">
        <f t="shared" ref="M154:M191" si="63">IF(L154="","",IF(L154&gt;3.302,0.8676*3.302^2+0.0787*3.302-0.0034,0.8676*L154^2+0.0787*L154-0.0034))</f>
        <v>#DIV/0!</v>
      </c>
      <c r="N154" s="77"/>
      <c r="O154" s="77"/>
      <c r="P154" s="77"/>
      <c r="Q154" s="77"/>
      <c r="R154" s="274" t="e">
        <f t="shared" si="54"/>
        <v>#DIV/0!</v>
      </c>
      <c r="S154" s="163" t="e">
        <f t="shared" si="55"/>
        <v>#DIV/0!</v>
      </c>
      <c r="T154" s="164" t="e">
        <f t="shared" si="56"/>
        <v>#DIV/0!</v>
      </c>
      <c r="U154" s="149" t="e">
        <f t="shared" si="57"/>
        <v>#DIV/0!</v>
      </c>
      <c r="V154" s="165" t="e">
        <f t="shared" ref="V154:V184" si="64">+IF(K154="","",K154*5)</f>
        <v>#DIV/0!</v>
      </c>
      <c r="W154" s="166" t="e">
        <f t="shared" ref="W154:W184" si="65">IF(U154="","",+U154+V154)</f>
        <v>#DIV/0!</v>
      </c>
      <c r="X154" s="167" t="e">
        <f t="shared" ref="X154:X184" si="66">+IF(V154="","",V154*2)</f>
        <v>#DIV/0!</v>
      </c>
      <c r="Y154" s="168" t="e">
        <f t="shared" ref="Y154:Y184" si="67">+IF(U154="","",X154+U154)</f>
        <v>#DIV/0!</v>
      </c>
      <c r="Z154" s="169" t="e">
        <f t="shared" ref="Z154:Z191" si="68">(J154*$H$7)*5.5</f>
        <v>#DIV/0!</v>
      </c>
      <c r="AA154" s="275" t="e">
        <f t="shared" ref="AA154:AA191" si="69">Z154*10</f>
        <v>#DIV/0!</v>
      </c>
      <c r="AB154" s="109"/>
      <c r="AC154" s="137">
        <f t="shared" si="58"/>
        <v>0</v>
      </c>
      <c r="AD154" s="137">
        <f t="shared" si="59"/>
        <v>0</v>
      </c>
      <c r="AE154" s="137">
        <f t="shared" si="60"/>
        <v>453600</v>
      </c>
      <c r="AF154" s="137">
        <f t="shared" si="61"/>
        <v>453600</v>
      </c>
      <c r="AG154" s="156">
        <f t="shared" si="62"/>
        <v>0</v>
      </c>
      <c r="AH154" s="479"/>
    </row>
    <row r="155" spans="2:34" ht="15.75" hidden="1">
      <c r="B155" s="264" t="str">
        <f t="shared" si="46"/>
        <v>Custom Fan 3</v>
      </c>
      <c r="C155" s="270"/>
      <c r="D155" s="270"/>
      <c r="E155" s="244">
        <f t="shared" si="47"/>
        <v>37.5</v>
      </c>
      <c r="F155" s="260">
        <f t="shared" si="48"/>
        <v>0</v>
      </c>
      <c r="G155" s="139" t="e">
        <f t="shared" si="49"/>
        <v>#DIV/0!</v>
      </c>
      <c r="H155" s="158">
        <v>0</v>
      </c>
      <c r="I155" s="159" t="e">
        <f t="shared" si="50"/>
        <v>#DIV/0!</v>
      </c>
      <c r="J155" s="160" t="e">
        <f t="shared" si="51"/>
        <v>#DIV/0!</v>
      </c>
      <c r="K155" s="143" t="e">
        <f t="shared" si="52"/>
        <v>#DIV/0!</v>
      </c>
      <c r="L155" s="161" t="e">
        <f t="shared" si="53"/>
        <v>#DIV/0!</v>
      </c>
      <c r="M155" s="273" t="e">
        <f t="shared" si="63"/>
        <v>#DIV/0!</v>
      </c>
      <c r="N155" s="77"/>
      <c r="O155" s="77"/>
      <c r="P155" s="77"/>
      <c r="Q155" s="77"/>
      <c r="R155" s="274" t="e">
        <f t="shared" si="54"/>
        <v>#DIV/0!</v>
      </c>
      <c r="S155" s="163" t="e">
        <f t="shared" si="55"/>
        <v>#DIV/0!</v>
      </c>
      <c r="T155" s="164" t="e">
        <f t="shared" si="56"/>
        <v>#DIV/0!</v>
      </c>
      <c r="U155" s="149" t="e">
        <f t="shared" si="57"/>
        <v>#DIV/0!</v>
      </c>
      <c r="V155" s="165" t="e">
        <f t="shared" si="64"/>
        <v>#DIV/0!</v>
      </c>
      <c r="W155" s="166" t="e">
        <f t="shared" si="65"/>
        <v>#DIV/0!</v>
      </c>
      <c r="X155" s="167" t="e">
        <f t="shared" si="66"/>
        <v>#DIV/0!</v>
      </c>
      <c r="Y155" s="168" t="e">
        <f t="shared" si="67"/>
        <v>#DIV/0!</v>
      </c>
      <c r="Z155" s="169" t="e">
        <f t="shared" si="68"/>
        <v>#DIV/0!</v>
      </c>
      <c r="AA155" s="275" t="e">
        <f t="shared" si="69"/>
        <v>#DIV/0!</v>
      </c>
      <c r="AB155" s="109"/>
      <c r="AC155" s="137">
        <f t="shared" si="58"/>
        <v>0</v>
      </c>
      <c r="AD155" s="137">
        <f t="shared" si="59"/>
        <v>0</v>
      </c>
      <c r="AE155" s="137">
        <f t="shared" si="60"/>
        <v>453600</v>
      </c>
      <c r="AF155" s="137">
        <f t="shared" si="61"/>
        <v>453600</v>
      </c>
      <c r="AG155" s="156">
        <f t="shared" si="62"/>
        <v>0</v>
      </c>
      <c r="AH155" s="479"/>
    </row>
    <row r="156" spans="2:34" ht="15.75" hidden="1">
      <c r="B156" s="264" t="str">
        <f t="shared" si="46"/>
        <v>Custom Fan 4</v>
      </c>
      <c r="C156" s="270"/>
      <c r="D156" s="270"/>
      <c r="E156" s="244">
        <f t="shared" si="47"/>
        <v>37.5</v>
      </c>
      <c r="F156" s="260">
        <f t="shared" si="48"/>
        <v>0</v>
      </c>
      <c r="G156" s="139" t="e">
        <f t="shared" si="49"/>
        <v>#DIV/0!</v>
      </c>
      <c r="H156" s="158">
        <v>0</v>
      </c>
      <c r="I156" s="159" t="e">
        <f t="shared" si="50"/>
        <v>#DIV/0!</v>
      </c>
      <c r="J156" s="160" t="e">
        <f t="shared" si="51"/>
        <v>#DIV/0!</v>
      </c>
      <c r="K156" s="143" t="e">
        <f t="shared" si="52"/>
        <v>#DIV/0!</v>
      </c>
      <c r="L156" s="161" t="e">
        <f t="shared" si="53"/>
        <v>#DIV/0!</v>
      </c>
      <c r="M156" s="273" t="e">
        <f t="shared" si="63"/>
        <v>#DIV/0!</v>
      </c>
      <c r="N156" s="77"/>
      <c r="O156" s="77"/>
      <c r="P156" s="77"/>
      <c r="Q156" s="77"/>
      <c r="R156" s="274" t="e">
        <f t="shared" si="54"/>
        <v>#DIV/0!</v>
      </c>
      <c r="S156" s="163" t="e">
        <f t="shared" si="55"/>
        <v>#DIV/0!</v>
      </c>
      <c r="T156" s="164" t="e">
        <f t="shared" si="56"/>
        <v>#DIV/0!</v>
      </c>
      <c r="U156" s="149" t="e">
        <f t="shared" si="57"/>
        <v>#DIV/0!</v>
      </c>
      <c r="V156" s="165" t="e">
        <f t="shared" si="64"/>
        <v>#DIV/0!</v>
      </c>
      <c r="W156" s="166" t="e">
        <f t="shared" si="65"/>
        <v>#DIV/0!</v>
      </c>
      <c r="X156" s="167" t="e">
        <f t="shared" si="66"/>
        <v>#DIV/0!</v>
      </c>
      <c r="Y156" s="168" t="e">
        <f t="shared" si="67"/>
        <v>#DIV/0!</v>
      </c>
      <c r="Z156" s="169" t="e">
        <f t="shared" si="68"/>
        <v>#DIV/0!</v>
      </c>
      <c r="AA156" s="275" t="e">
        <f t="shared" si="69"/>
        <v>#DIV/0!</v>
      </c>
      <c r="AB156" s="109"/>
      <c r="AC156" s="137">
        <f t="shared" si="58"/>
        <v>0</v>
      </c>
      <c r="AD156" s="137">
        <f t="shared" si="59"/>
        <v>0</v>
      </c>
      <c r="AE156" s="137">
        <f t="shared" si="60"/>
        <v>453600</v>
      </c>
      <c r="AF156" s="137">
        <f t="shared" si="61"/>
        <v>453600</v>
      </c>
      <c r="AG156" s="156">
        <f t="shared" si="62"/>
        <v>0</v>
      </c>
      <c r="AH156" s="479"/>
    </row>
    <row r="157" spans="2:34" ht="15.75" hidden="1">
      <c r="B157" s="264" t="str">
        <f t="shared" si="46"/>
        <v>Custom Fan 5</v>
      </c>
      <c r="C157" s="270"/>
      <c r="D157" s="270"/>
      <c r="E157" s="244">
        <f t="shared" si="47"/>
        <v>37.5</v>
      </c>
      <c r="F157" s="260">
        <f t="shared" si="48"/>
        <v>0</v>
      </c>
      <c r="G157" s="139" t="e">
        <f t="shared" si="49"/>
        <v>#DIV/0!</v>
      </c>
      <c r="H157" s="158">
        <v>0</v>
      </c>
      <c r="I157" s="159" t="e">
        <f t="shared" si="50"/>
        <v>#DIV/0!</v>
      </c>
      <c r="J157" s="160" t="e">
        <f t="shared" si="51"/>
        <v>#DIV/0!</v>
      </c>
      <c r="K157" s="143" t="e">
        <f t="shared" si="52"/>
        <v>#DIV/0!</v>
      </c>
      <c r="L157" s="161" t="e">
        <f t="shared" si="53"/>
        <v>#DIV/0!</v>
      </c>
      <c r="M157" s="273" t="e">
        <f t="shared" si="63"/>
        <v>#DIV/0!</v>
      </c>
      <c r="N157" s="77"/>
      <c r="O157" s="77"/>
      <c r="P157" s="77"/>
      <c r="Q157" s="77"/>
      <c r="R157" s="274" t="e">
        <f t="shared" si="54"/>
        <v>#DIV/0!</v>
      </c>
      <c r="S157" s="163" t="e">
        <f t="shared" si="55"/>
        <v>#DIV/0!</v>
      </c>
      <c r="T157" s="164" t="e">
        <f t="shared" si="56"/>
        <v>#DIV/0!</v>
      </c>
      <c r="U157" s="149" t="e">
        <f t="shared" si="57"/>
        <v>#DIV/0!</v>
      </c>
      <c r="V157" s="165" t="e">
        <f t="shared" si="64"/>
        <v>#DIV/0!</v>
      </c>
      <c r="W157" s="166" t="e">
        <f t="shared" si="65"/>
        <v>#DIV/0!</v>
      </c>
      <c r="X157" s="167" t="e">
        <f t="shared" si="66"/>
        <v>#DIV/0!</v>
      </c>
      <c r="Y157" s="168" t="e">
        <f t="shared" si="67"/>
        <v>#DIV/0!</v>
      </c>
      <c r="Z157" s="169" t="e">
        <f t="shared" si="68"/>
        <v>#DIV/0!</v>
      </c>
      <c r="AA157" s="275" t="e">
        <f t="shared" si="69"/>
        <v>#DIV/0!</v>
      </c>
      <c r="AB157" s="109"/>
      <c r="AC157" s="137">
        <f t="shared" si="58"/>
        <v>0</v>
      </c>
      <c r="AD157" s="137">
        <f t="shared" si="59"/>
        <v>0</v>
      </c>
      <c r="AE157" s="137">
        <f t="shared" si="60"/>
        <v>453600</v>
      </c>
      <c r="AF157" s="137">
        <f t="shared" si="61"/>
        <v>453600</v>
      </c>
      <c r="AG157" s="156">
        <f t="shared" si="62"/>
        <v>0</v>
      </c>
      <c r="AH157" s="479"/>
    </row>
    <row r="158" spans="2:34" ht="15.75" hidden="1">
      <c r="B158" s="264" t="str">
        <f t="shared" si="46"/>
        <v>Hired Hand 6603-7403 52" (60Hz) CONE 1hp</v>
      </c>
      <c r="C158" s="261"/>
      <c r="D158" s="261"/>
      <c r="E158" s="244">
        <f t="shared" si="47"/>
        <v>37.5</v>
      </c>
      <c r="F158" s="260">
        <f t="shared" si="48"/>
        <v>40946</v>
      </c>
      <c r="G158" s="139">
        <f t="shared" si="49"/>
        <v>12</v>
      </c>
      <c r="H158" s="158">
        <f>IF(B$31=B158,E$31,IF(B$32=B158,E$32,IF(B$33=B158,E$33,IF(B$34=B158,E$34,IF(B$35=B158,E$35,0)))))</f>
        <v>0</v>
      </c>
      <c r="I158" s="159">
        <f t="shared" si="50"/>
        <v>491400</v>
      </c>
      <c r="J158" s="160">
        <f t="shared" si="51"/>
        <v>15</v>
      </c>
      <c r="K158" s="143">
        <f t="shared" si="52"/>
        <v>6760</v>
      </c>
      <c r="L158" s="161">
        <f t="shared" si="53"/>
        <v>3.25</v>
      </c>
      <c r="M158" s="273">
        <f t="shared" si="63"/>
        <v>9.4164000000000012</v>
      </c>
      <c r="N158" s="77"/>
      <c r="O158" s="77"/>
      <c r="P158" s="77"/>
      <c r="Q158" s="77"/>
      <c r="R158" s="274">
        <f t="shared" si="54"/>
        <v>81.457567804024492</v>
      </c>
      <c r="S158" s="163">
        <f t="shared" si="55"/>
        <v>1641.2760000000001</v>
      </c>
      <c r="T158" s="164">
        <f t="shared" si="56"/>
        <v>3100.7339999999999</v>
      </c>
      <c r="U158" s="149">
        <f t="shared" si="57"/>
        <v>13596</v>
      </c>
      <c r="V158" s="165">
        <f t="shared" si="64"/>
        <v>33800</v>
      </c>
      <c r="W158" s="166">
        <f t="shared" si="65"/>
        <v>47396</v>
      </c>
      <c r="X158" s="167">
        <f t="shared" si="66"/>
        <v>67600</v>
      </c>
      <c r="Y158" s="168">
        <f t="shared" si="67"/>
        <v>81196</v>
      </c>
      <c r="Z158" s="169">
        <f t="shared" si="68"/>
        <v>990</v>
      </c>
      <c r="AA158" s="275">
        <f t="shared" si="69"/>
        <v>9900</v>
      </c>
      <c r="AB158" s="109"/>
      <c r="AC158" s="137">
        <f t="shared" si="58"/>
        <v>2</v>
      </c>
      <c r="AD158" s="137">
        <f t="shared" si="59"/>
        <v>0</v>
      </c>
      <c r="AE158" s="137">
        <f t="shared" si="60"/>
        <v>453600</v>
      </c>
      <c r="AF158" s="137">
        <f t="shared" si="61"/>
        <v>453600</v>
      </c>
      <c r="AG158" s="156">
        <f t="shared" si="62"/>
        <v>46553</v>
      </c>
      <c r="AH158" s="479"/>
    </row>
    <row r="159" spans="2:34" ht="15.75" hidden="1">
      <c r="B159" s="264" t="str">
        <f t="shared" si="46"/>
        <v>Hired Hand 6603-6527 52.5" - Butterfly damper (60Hz) CONE 1hp</v>
      </c>
      <c r="C159" s="261"/>
      <c r="D159" s="261"/>
      <c r="E159" s="244">
        <f t="shared" si="47"/>
        <v>37.5</v>
      </c>
      <c r="F159" s="260">
        <f t="shared" si="48"/>
        <v>39925</v>
      </c>
      <c r="G159" s="139">
        <f t="shared" si="49"/>
        <v>12</v>
      </c>
      <c r="H159" s="158">
        <f t="shared" ref="H159:H185" si="70">IF(B$31=B159,E$31,IF(B$32=B159,E$32,IF(B$33=B159,E$33,IF(B$34=B159,E$34,IF(B$35=B159,E$35,0)))))</f>
        <v>0</v>
      </c>
      <c r="I159" s="159">
        <f t="shared" si="50"/>
        <v>479100</v>
      </c>
      <c r="J159" s="160">
        <f t="shared" si="51"/>
        <v>16</v>
      </c>
      <c r="K159" s="143">
        <f t="shared" si="52"/>
        <v>7216</v>
      </c>
      <c r="L159" s="161">
        <f t="shared" si="53"/>
        <v>3.17</v>
      </c>
      <c r="M159" s="273">
        <f t="shared" si="63"/>
        <v>8.9645046400000012</v>
      </c>
      <c r="N159" s="77"/>
      <c r="O159" s="77"/>
      <c r="P159" s="77"/>
      <c r="Q159" s="77"/>
      <c r="R159" s="274">
        <f t="shared" si="54"/>
        <v>81.749781277340333</v>
      </c>
      <c r="S159" s="163">
        <f t="shared" si="55"/>
        <v>1600.194</v>
      </c>
      <c r="T159" s="164">
        <f t="shared" si="56"/>
        <v>3023.1209999999996</v>
      </c>
      <c r="U159" s="149">
        <f t="shared" si="57"/>
        <v>14379.84</v>
      </c>
      <c r="V159" s="165">
        <f t="shared" si="64"/>
        <v>36080</v>
      </c>
      <c r="W159" s="166">
        <f t="shared" si="65"/>
        <v>50459.839999999997</v>
      </c>
      <c r="X159" s="167">
        <f t="shared" si="66"/>
        <v>72160</v>
      </c>
      <c r="Y159" s="168">
        <f t="shared" si="67"/>
        <v>86539.839999999997</v>
      </c>
      <c r="Z159" s="169">
        <f t="shared" si="68"/>
        <v>1056</v>
      </c>
      <c r="AA159" s="275">
        <f t="shared" si="69"/>
        <v>10560</v>
      </c>
      <c r="AB159" s="109"/>
      <c r="AC159" s="137">
        <f t="shared" si="58"/>
        <v>1</v>
      </c>
      <c r="AD159" s="137">
        <f t="shared" si="59"/>
        <v>0</v>
      </c>
      <c r="AE159" s="137">
        <f t="shared" si="60"/>
        <v>453600</v>
      </c>
      <c r="AF159" s="137">
        <f t="shared" si="61"/>
        <v>453600</v>
      </c>
      <c r="AG159" s="156">
        <f t="shared" si="62"/>
        <v>46720</v>
      </c>
      <c r="AH159" s="479"/>
    </row>
    <row r="160" spans="2:34" ht="15.75" hidden="1">
      <c r="B160" s="264" t="str">
        <f t="shared" si="46"/>
        <v>Hired Hand 6603-3000 52.5" - CONE 1.5hp</v>
      </c>
      <c r="C160" s="261"/>
      <c r="D160" s="261"/>
      <c r="E160" s="244">
        <f t="shared" si="47"/>
        <v>37.5</v>
      </c>
      <c r="F160" s="260">
        <f t="shared" si="48"/>
        <v>37038</v>
      </c>
      <c r="G160" s="139">
        <f t="shared" si="49"/>
        <v>13</v>
      </c>
      <c r="H160" s="158">
        <f t="shared" si="70"/>
        <v>0</v>
      </c>
      <c r="I160" s="159">
        <f t="shared" si="50"/>
        <v>481500</v>
      </c>
      <c r="J160" s="160">
        <f t="shared" si="51"/>
        <v>16</v>
      </c>
      <c r="K160" s="143">
        <f t="shared" si="52"/>
        <v>7236</v>
      </c>
      <c r="L160" s="161">
        <f t="shared" si="53"/>
        <v>3.18</v>
      </c>
      <c r="M160" s="273">
        <f t="shared" si="63"/>
        <v>9.0203842400000021</v>
      </c>
      <c r="N160" s="77"/>
      <c r="O160" s="77"/>
      <c r="P160" s="77"/>
      <c r="Q160" s="77"/>
      <c r="R160" s="274">
        <f t="shared" si="54"/>
        <v>82.771216097987747</v>
      </c>
      <c r="S160" s="163">
        <f t="shared" si="55"/>
        <v>1608.21</v>
      </c>
      <c r="T160" s="164">
        <f t="shared" si="56"/>
        <v>3038.2649999999999</v>
      </c>
      <c r="U160" s="149">
        <f t="shared" si="57"/>
        <v>20047.170000000002</v>
      </c>
      <c r="V160" s="165">
        <f t="shared" si="64"/>
        <v>36180</v>
      </c>
      <c r="W160" s="166">
        <f t="shared" si="65"/>
        <v>56227.17</v>
      </c>
      <c r="X160" s="167">
        <f t="shared" si="66"/>
        <v>72360</v>
      </c>
      <c r="Y160" s="168">
        <f t="shared" si="67"/>
        <v>92407.17</v>
      </c>
      <c r="Z160" s="169">
        <f t="shared" si="68"/>
        <v>1056</v>
      </c>
      <c r="AA160" s="275">
        <f t="shared" si="69"/>
        <v>10560</v>
      </c>
      <c r="AB160" s="109"/>
      <c r="AC160" s="137">
        <f t="shared" si="58"/>
        <v>1</v>
      </c>
      <c r="AD160" s="137">
        <f t="shared" si="59"/>
        <v>0</v>
      </c>
      <c r="AE160" s="137">
        <f t="shared" si="60"/>
        <v>453600</v>
      </c>
      <c r="AF160" s="137">
        <f t="shared" si="61"/>
        <v>453600</v>
      </c>
      <c r="AG160" s="156">
        <f t="shared" si="62"/>
        <v>43665</v>
      </c>
      <c r="AH160" s="479"/>
    </row>
    <row r="161" spans="2:34" ht="15.75" hidden="1">
      <c r="B161" s="264" t="str">
        <f t="shared" si="46"/>
        <v>Hired Hand 6603-8010 54" - CONE 1.5hp</v>
      </c>
      <c r="C161" s="261"/>
      <c r="D161" s="261"/>
      <c r="E161" s="244">
        <f t="shared" si="47"/>
        <v>37.5</v>
      </c>
      <c r="F161" s="260">
        <f t="shared" si="48"/>
        <v>39417</v>
      </c>
      <c r="G161" s="139">
        <f t="shared" si="49"/>
        <v>12</v>
      </c>
      <c r="H161" s="158">
        <f t="shared" si="70"/>
        <v>0</v>
      </c>
      <c r="I161" s="159">
        <f t="shared" si="50"/>
        <v>473000</v>
      </c>
      <c r="J161" s="160">
        <f t="shared" si="51"/>
        <v>12.4</v>
      </c>
      <c r="K161" s="143">
        <f t="shared" si="52"/>
        <v>5618.4</v>
      </c>
      <c r="L161" s="161">
        <f t="shared" si="53"/>
        <v>3.13</v>
      </c>
      <c r="M161" s="273">
        <f t="shared" si="63"/>
        <v>8.7427214400000004</v>
      </c>
      <c r="N161" s="77"/>
      <c r="O161" s="77"/>
      <c r="P161" s="77"/>
      <c r="Q161" s="77"/>
      <c r="R161" s="274">
        <f t="shared" si="54"/>
        <v>79.375328083989501</v>
      </c>
      <c r="S161" s="163">
        <f t="shared" si="55"/>
        <v>1579.82</v>
      </c>
      <c r="T161" s="164">
        <f t="shared" si="56"/>
        <v>2984.6299999999997</v>
      </c>
      <c r="U161" s="149">
        <f t="shared" si="57"/>
        <v>17568</v>
      </c>
      <c r="V161" s="165">
        <f t="shared" si="64"/>
        <v>28092</v>
      </c>
      <c r="W161" s="166">
        <f t="shared" si="65"/>
        <v>45660</v>
      </c>
      <c r="X161" s="167">
        <f t="shared" si="66"/>
        <v>56184</v>
      </c>
      <c r="Y161" s="168">
        <f t="shared" si="67"/>
        <v>73752</v>
      </c>
      <c r="Z161" s="169">
        <f t="shared" si="68"/>
        <v>818.40000000000009</v>
      </c>
      <c r="AA161" s="275">
        <f t="shared" si="69"/>
        <v>8184.0000000000009</v>
      </c>
      <c r="AB161" s="109"/>
      <c r="AC161" s="137">
        <f t="shared" si="58"/>
        <v>4</v>
      </c>
      <c r="AD161" s="137">
        <f t="shared" si="59"/>
        <v>0</v>
      </c>
      <c r="AE161" s="137">
        <f t="shared" si="60"/>
        <v>453600</v>
      </c>
      <c r="AF161" s="137">
        <f t="shared" si="61"/>
        <v>453600</v>
      </c>
      <c r="AG161" s="156">
        <f t="shared" si="62"/>
        <v>45363</v>
      </c>
      <c r="AH161" s="479"/>
    </row>
    <row r="162" spans="2:34" ht="15.75" hidden="1">
      <c r="B162" s="264" t="str">
        <f t="shared" si="46"/>
        <v>Munters Euroemme EM50 - 1hp</v>
      </c>
      <c r="C162" s="261"/>
      <c r="D162" s="261"/>
      <c r="E162" s="244">
        <f t="shared" si="47"/>
        <v>37.5</v>
      </c>
      <c r="F162" s="260">
        <f t="shared" si="48"/>
        <v>27713</v>
      </c>
      <c r="G162" s="139">
        <f t="shared" si="49"/>
        <v>17</v>
      </c>
      <c r="H162" s="158">
        <f t="shared" si="70"/>
        <v>0</v>
      </c>
      <c r="I162" s="159">
        <f t="shared" si="50"/>
        <v>471100</v>
      </c>
      <c r="J162" s="160">
        <f t="shared" si="51"/>
        <v>19.7</v>
      </c>
      <c r="K162" s="143">
        <f t="shared" si="52"/>
        <v>8920.2000000000007</v>
      </c>
      <c r="L162" s="161">
        <f t="shared" si="53"/>
        <v>3.12</v>
      </c>
      <c r="M162" s="273">
        <f t="shared" si="63"/>
        <v>8.6877094400000026</v>
      </c>
      <c r="N162" s="77"/>
      <c r="O162" s="77"/>
      <c r="P162" s="77"/>
      <c r="Q162" s="77"/>
      <c r="R162" s="274">
        <f t="shared" si="54"/>
        <v>81.747739865850107</v>
      </c>
      <c r="S162" s="163">
        <f t="shared" si="55"/>
        <v>1573.4739999999999</v>
      </c>
      <c r="T162" s="164">
        <f t="shared" si="56"/>
        <v>2972.6409999999996</v>
      </c>
      <c r="U162" s="149">
        <f t="shared" si="57"/>
        <v>15436</v>
      </c>
      <c r="V162" s="165">
        <f t="shared" si="64"/>
        <v>44601</v>
      </c>
      <c r="W162" s="166">
        <f t="shared" si="65"/>
        <v>60037</v>
      </c>
      <c r="X162" s="167">
        <f t="shared" si="66"/>
        <v>89202</v>
      </c>
      <c r="Y162" s="168">
        <f t="shared" si="67"/>
        <v>104638</v>
      </c>
      <c r="Z162" s="169">
        <f t="shared" si="68"/>
        <v>1300.1999999999998</v>
      </c>
      <c r="AA162" s="275">
        <f t="shared" si="69"/>
        <v>13001.999999999998</v>
      </c>
      <c r="AB162" s="109"/>
      <c r="AC162" s="137">
        <f t="shared" si="58"/>
        <v>0</v>
      </c>
      <c r="AD162" s="137">
        <f t="shared" si="59"/>
        <v>0</v>
      </c>
      <c r="AE162" s="137">
        <f t="shared" si="60"/>
        <v>453600</v>
      </c>
      <c r="AF162" s="137">
        <f t="shared" si="61"/>
        <v>453600</v>
      </c>
      <c r="AG162" s="156">
        <f t="shared" si="62"/>
        <v>32978</v>
      </c>
      <c r="AH162" s="479"/>
    </row>
    <row r="163" spans="2:34" ht="15.75" hidden="1">
      <c r="B163" s="264" t="str">
        <f t="shared" si="46"/>
        <v>Munters Euroemme EM50 - 1.5hp</v>
      </c>
      <c r="C163" s="271"/>
      <c r="D163" s="271"/>
      <c r="E163" s="244">
        <f t="shared" si="47"/>
        <v>37.5</v>
      </c>
      <c r="F163" s="260">
        <f t="shared" si="48"/>
        <v>36028</v>
      </c>
      <c r="G163" s="139">
        <f t="shared" si="49"/>
        <v>13</v>
      </c>
      <c r="H163" s="158">
        <f t="shared" si="70"/>
        <v>0</v>
      </c>
      <c r="I163" s="159">
        <f t="shared" si="50"/>
        <v>468400</v>
      </c>
      <c r="J163" s="160">
        <f t="shared" si="51"/>
        <v>22.9</v>
      </c>
      <c r="K163" s="143">
        <f t="shared" si="52"/>
        <v>10331.4</v>
      </c>
      <c r="L163" s="161">
        <f t="shared" si="53"/>
        <v>3.1</v>
      </c>
      <c r="M163" s="273">
        <f t="shared" si="63"/>
        <v>8.5782060000000016</v>
      </c>
      <c r="N163" s="77"/>
      <c r="O163" s="77"/>
      <c r="P163" s="77"/>
      <c r="Q163" s="77"/>
      <c r="R163" s="274">
        <f t="shared" si="54"/>
        <v>75.90347039953339</v>
      </c>
      <c r="S163" s="163">
        <f t="shared" si="55"/>
        <v>1564.4560000000001</v>
      </c>
      <c r="T163" s="164">
        <f t="shared" si="56"/>
        <v>2955.6039999999998</v>
      </c>
      <c r="U163" s="149">
        <f t="shared" si="57"/>
        <v>12106.25</v>
      </c>
      <c r="V163" s="165">
        <f t="shared" si="64"/>
        <v>51657</v>
      </c>
      <c r="W163" s="166">
        <f t="shared" si="65"/>
        <v>63763.25</v>
      </c>
      <c r="X163" s="167">
        <f t="shared" si="66"/>
        <v>103314</v>
      </c>
      <c r="Y163" s="168">
        <f t="shared" si="67"/>
        <v>115420.25</v>
      </c>
      <c r="Z163" s="169">
        <f t="shared" si="68"/>
        <v>1511.3999999999996</v>
      </c>
      <c r="AA163" s="275">
        <f t="shared" si="69"/>
        <v>15113.999999999996</v>
      </c>
      <c r="AB163" s="109"/>
      <c r="AC163" s="137">
        <f t="shared" si="58"/>
        <v>0</v>
      </c>
      <c r="AD163" s="137">
        <f t="shared" si="59"/>
        <v>0</v>
      </c>
      <c r="AE163" s="137">
        <f t="shared" si="60"/>
        <v>453600</v>
      </c>
      <c r="AF163" s="137">
        <f t="shared" si="61"/>
        <v>453600</v>
      </c>
      <c r="AG163" s="156">
        <f t="shared" si="62"/>
        <v>40042</v>
      </c>
      <c r="AH163" s="479"/>
    </row>
    <row r="164" spans="2:34" ht="15.75" hidden="1">
      <c r="B164" s="264" t="str">
        <f t="shared" si="46"/>
        <v>Munters Euroemme  EC-50 (60Hz, 1 phase) CONE 1hp</v>
      </c>
      <c r="C164" s="271"/>
      <c r="D164" s="271"/>
      <c r="E164" s="244">
        <f t="shared" si="47"/>
        <v>37.5</v>
      </c>
      <c r="F164" s="260">
        <f t="shared" si="48"/>
        <v>32640</v>
      </c>
      <c r="G164" s="139">
        <f t="shared" si="49"/>
        <v>14</v>
      </c>
      <c r="H164" s="158">
        <f t="shared" si="70"/>
        <v>0</v>
      </c>
      <c r="I164" s="159">
        <f t="shared" si="50"/>
        <v>457000</v>
      </c>
      <c r="J164" s="160">
        <f t="shared" si="51"/>
        <v>14.9</v>
      </c>
      <c r="K164" s="143">
        <f t="shared" si="52"/>
        <v>6733.4</v>
      </c>
      <c r="L164" s="161">
        <f t="shared" si="53"/>
        <v>3.02</v>
      </c>
      <c r="M164" s="273">
        <f t="shared" si="63"/>
        <v>8.1471330400000017</v>
      </c>
      <c r="N164" s="77"/>
      <c r="O164" s="77"/>
      <c r="P164" s="77"/>
      <c r="Q164" s="77"/>
      <c r="R164" s="274">
        <f t="shared" si="54"/>
        <v>78.778069407990671</v>
      </c>
      <c r="S164" s="163">
        <f t="shared" si="55"/>
        <v>1526.38</v>
      </c>
      <c r="T164" s="164">
        <f t="shared" si="56"/>
        <v>2883.6699999999996</v>
      </c>
      <c r="U164" s="149">
        <f t="shared" si="57"/>
        <v>15414</v>
      </c>
      <c r="V164" s="165">
        <f t="shared" si="64"/>
        <v>33667</v>
      </c>
      <c r="W164" s="166">
        <f t="shared" si="65"/>
        <v>49081</v>
      </c>
      <c r="X164" s="167">
        <f t="shared" si="66"/>
        <v>67334</v>
      </c>
      <c r="Y164" s="168">
        <f t="shared" si="67"/>
        <v>82748</v>
      </c>
      <c r="Z164" s="169">
        <f t="shared" si="68"/>
        <v>983.40000000000009</v>
      </c>
      <c r="AA164" s="275">
        <f t="shared" si="69"/>
        <v>9834</v>
      </c>
      <c r="AB164" s="109"/>
      <c r="AC164" s="137">
        <f t="shared" si="58"/>
        <v>1</v>
      </c>
      <c r="AD164" s="137">
        <f t="shared" si="59"/>
        <v>0</v>
      </c>
      <c r="AE164" s="137">
        <f t="shared" si="60"/>
        <v>453600</v>
      </c>
      <c r="AF164" s="137">
        <f t="shared" si="61"/>
        <v>453600</v>
      </c>
      <c r="AG164" s="156">
        <f t="shared" si="62"/>
        <v>38590</v>
      </c>
      <c r="AH164" s="479"/>
    </row>
    <row r="165" spans="2:34" ht="15.75" hidden="1">
      <c r="B165" s="264" t="str">
        <f t="shared" si="46"/>
        <v>Munters Euroemme  EC-50 CONE 1.5hp</v>
      </c>
      <c r="C165" s="271"/>
      <c r="D165" s="271"/>
      <c r="E165" s="244">
        <f t="shared" si="47"/>
        <v>37.5</v>
      </c>
      <c r="F165" s="260">
        <f t="shared" si="48"/>
        <v>40450.726029558697</v>
      </c>
      <c r="G165" s="139">
        <f t="shared" si="49"/>
        <v>12</v>
      </c>
      <c r="H165" s="158">
        <f t="shared" si="70"/>
        <v>0</v>
      </c>
      <c r="I165" s="159">
        <f t="shared" si="50"/>
        <v>485400</v>
      </c>
      <c r="J165" s="160">
        <f t="shared" si="51"/>
        <v>19.100000000000001</v>
      </c>
      <c r="K165" s="143">
        <f t="shared" si="52"/>
        <v>8620.6</v>
      </c>
      <c r="L165" s="161">
        <f t="shared" si="53"/>
        <v>3.21</v>
      </c>
      <c r="M165" s="273">
        <f t="shared" si="63"/>
        <v>9.1890641600000009</v>
      </c>
      <c r="N165" s="77"/>
      <c r="O165" s="77"/>
      <c r="P165" s="77"/>
      <c r="Q165" s="77"/>
      <c r="R165" s="274">
        <f t="shared" si="54"/>
        <v>77.69276116509748</v>
      </c>
      <c r="S165" s="163">
        <f t="shared" si="55"/>
        <v>1621.2360000000001</v>
      </c>
      <c r="T165" s="164">
        <f t="shared" si="56"/>
        <v>3062.8739999999998</v>
      </c>
      <c r="U165" s="149">
        <f t="shared" si="57"/>
        <v>13452</v>
      </c>
      <c r="V165" s="165">
        <f t="shared" si="64"/>
        <v>43103</v>
      </c>
      <c r="W165" s="166">
        <f t="shared" si="65"/>
        <v>56555</v>
      </c>
      <c r="X165" s="167">
        <f t="shared" si="66"/>
        <v>86206</v>
      </c>
      <c r="Y165" s="168">
        <f t="shared" si="67"/>
        <v>99658</v>
      </c>
      <c r="Z165" s="169">
        <f t="shared" si="68"/>
        <v>1260.6000000000001</v>
      </c>
      <c r="AA165" s="275">
        <f t="shared" si="69"/>
        <v>12606.000000000002</v>
      </c>
      <c r="AB165" s="109"/>
      <c r="AC165" s="137">
        <f t="shared" si="58"/>
        <v>0</v>
      </c>
      <c r="AD165" s="137">
        <f t="shared" si="59"/>
        <v>0</v>
      </c>
      <c r="AE165" s="137">
        <f t="shared" si="60"/>
        <v>453600</v>
      </c>
      <c r="AF165" s="137">
        <f t="shared" si="61"/>
        <v>453600</v>
      </c>
      <c r="AG165" s="156">
        <f t="shared" si="62"/>
        <v>44401.413005853203</v>
      </c>
      <c r="AH165" s="479"/>
    </row>
    <row r="166" spans="2:34" ht="15.75" hidden="1">
      <c r="B166" s="264" t="s">
        <v>198</v>
      </c>
      <c r="C166" s="264"/>
      <c r="D166" s="264"/>
      <c r="E166" s="244">
        <f>IF(B166="","",IF($H$9&gt;3.65,50,IF($H$9&gt;=3,37.5, IF($H$9&gt;=2.25,25,IF($H$9&gt;=1.5,12.5,0.05)))))</f>
        <v>37.5</v>
      </c>
      <c r="F166" s="260">
        <f t="shared" si="48"/>
        <v>36900</v>
      </c>
      <c r="G166" s="139">
        <f t="shared" si="49"/>
        <v>13</v>
      </c>
      <c r="H166" s="158">
        <f t="shared" si="70"/>
        <v>0</v>
      </c>
      <c r="I166" s="159">
        <f>+IF(F166="","",IF(H166&gt;0,ROUND(F166*H166,-2),ROUND(F166*G166,-2)))</f>
        <v>479700</v>
      </c>
      <c r="J166" s="160">
        <f t="shared" si="51"/>
        <v>14.5</v>
      </c>
      <c r="K166" s="143">
        <f t="shared" si="52"/>
        <v>6557</v>
      </c>
      <c r="L166" s="161">
        <f>+IF(I166="","",ROUND((I166/($C$7*($C$8+$C$9)/2)/3600),2))</f>
        <v>3.17</v>
      </c>
      <c r="M166" s="273">
        <f t="shared" si="63"/>
        <v>8.9645046400000012</v>
      </c>
      <c r="N166" s="77"/>
      <c r="O166" s="77"/>
      <c r="P166" s="77"/>
      <c r="Q166" s="77"/>
      <c r="R166" s="274">
        <f>+IF(B166="","",IF(H166&gt;0,H166*AG166/6858,G166*AG166/6858))</f>
        <v>83.974919801691456</v>
      </c>
      <c r="S166" s="163">
        <f>+IF(B166="","",I166*0.00334)</f>
        <v>1602.1980000000001</v>
      </c>
      <c r="T166" s="164">
        <f>+IF(B166="","",I166*0.00631)</f>
        <v>3026.9069999999997</v>
      </c>
      <c r="U166" s="149">
        <f t="shared" si="57"/>
        <v>20150</v>
      </c>
      <c r="V166" s="165">
        <f>+IF(K166="","",K166*5)</f>
        <v>32785</v>
      </c>
      <c r="W166" s="166">
        <f>IF(U166="","",+U166+V166)</f>
        <v>52935</v>
      </c>
      <c r="X166" s="167">
        <f>+IF(V166="","",V166*2)</f>
        <v>65570</v>
      </c>
      <c r="Y166" s="168">
        <f>+IF(U166="","",X166+U166)</f>
        <v>85720</v>
      </c>
      <c r="Z166" s="169">
        <f>(J166*$H$7)*5.5</f>
        <v>957</v>
      </c>
      <c r="AA166" s="275">
        <f t="shared" si="69"/>
        <v>9570</v>
      </c>
      <c r="AB166" s="109"/>
      <c r="AC166" s="137">
        <f t="shared" si="58"/>
        <v>3</v>
      </c>
      <c r="AD166" s="137">
        <f t="shared" si="59"/>
        <v>0</v>
      </c>
      <c r="AE166" s="137">
        <f t="shared" si="60"/>
        <v>453600</v>
      </c>
      <c r="AF166" s="137">
        <f t="shared" si="61"/>
        <v>453600</v>
      </c>
      <c r="AG166" s="156">
        <f t="shared" si="62"/>
        <v>44300</v>
      </c>
      <c r="AH166" s="479"/>
    </row>
    <row r="167" spans="2:34" ht="15.75" hidden="1">
      <c r="B167" s="264" t="s">
        <v>199</v>
      </c>
      <c r="C167" s="264"/>
      <c r="D167" s="264"/>
      <c r="E167" s="244">
        <f>IF(B167="","",IF($H$9&gt;3.65,50,IF($H$9&gt;=3,37.5, IF($H$9&gt;=2.25,25,IF($H$9&gt;=1.5,12.5,0.05)))))</f>
        <v>37.5</v>
      </c>
      <c r="F167" s="260">
        <f t="shared" si="48"/>
        <v>30300</v>
      </c>
      <c r="G167" s="139">
        <f t="shared" si="49"/>
        <v>15</v>
      </c>
      <c r="H167" s="158">
        <f t="shared" si="70"/>
        <v>0</v>
      </c>
      <c r="I167" s="159">
        <f>+IF(F167="","",IF(H167&gt;0,ROUND(F167*H167,-2),ROUND(F167*G167,-2)))</f>
        <v>454500</v>
      </c>
      <c r="J167" s="160">
        <f t="shared" si="51"/>
        <v>17.3</v>
      </c>
      <c r="K167" s="143">
        <f t="shared" si="52"/>
        <v>7811.8</v>
      </c>
      <c r="L167" s="161">
        <f>+IF(I167="","",ROUND((I167/($C$7*($C$8+$C$9)/2)/3600),2))</f>
        <v>3.01</v>
      </c>
      <c r="M167" s="273">
        <f t="shared" si="63"/>
        <v>8.0940297599999997</v>
      </c>
      <c r="N167" s="77"/>
      <c r="O167" s="77"/>
      <c r="P167" s="77"/>
      <c r="Q167" s="77"/>
      <c r="R167" s="274">
        <f>+IF(B167="","",IF(H167&gt;0,H167*AG167/6858,G167*AG167/6858))</f>
        <v>89.238845144356958</v>
      </c>
      <c r="S167" s="163">
        <f>+IF(B167="","",I167*0.00334)</f>
        <v>1518.03</v>
      </c>
      <c r="T167" s="164">
        <f>+IF(B167="","",I167*0.00631)</f>
        <v>2867.895</v>
      </c>
      <c r="U167" s="149">
        <f t="shared" si="57"/>
        <v>22500</v>
      </c>
      <c r="V167" s="165">
        <f>+IF(K167="","",K167*5)</f>
        <v>39059</v>
      </c>
      <c r="W167" s="166">
        <f>IF(U167="","",+U167+V167)</f>
        <v>61559</v>
      </c>
      <c r="X167" s="167">
        <f>+IF(V167="","",V167*2)</f>
        <v>78118</v>
      </c>
      <c r="Y167" s="168">
        <f>+IF(U167="","",X167+U167)</f>
        <v>100618</v>
      </c>
      <c r="Z167" s="169">
        <f>(J167*$H$7)*5.5</f>
        <v>1141.8000000000002</v>
      </c>
      <c r="AA167" s="275">
        <f t="shared" si="69"/>
        <v>11418.000000000002</v>
      </c>
      <c r="AB167" s="109"/>
      <c r="AC167" s="137">
        <f t="shared" si="58"/>
        <v>0</v>
      </c>
      <c r="AD167" s="137">
        <f t="shared" si="59"/>
        <v>0</v>
      </c>
      <c r="AE167" s="137">
        <f t="shared" si="60"/>
        <v>453600</v>
      </c>
      <c r="AF167" s="137">
        <f t="shared" si="61"/>
        <v>453600</v>
      </c>
      <c r="AG167" s="156">
        <f t="shared" si="62"/>
        <v>40800</v>
      </c>
      <c r="AH167" s="479"/>
    </row>
    <row r="168" spans="2:34" ht="15.75" hidden="1">
      <c r="B168" s="264" t="s">
        <v>200</v>
      </c>
      <c r="C168" s="264"/>
      <c r="D168" s="264"/>
      <c r="E168" s="244">
        <f>IF(B168="","",IF($H$9&gt;3.65,50,IF($H$9&gt;=3,37.5, IF($H$9&gt;=2.25,25,IF($H$9&gt;=1.5,12.5,0.05)))))</f>
        <v>37.5</v>
      </c>
      <c r="F168" s="260">
        <f t="shared" si="48"/>
        <v>37900</v>
      </c>
      <c r="G168" s="139">
        <f t="shared" si="49"/>
        <v>12</v>
      </c>
      <c r="H168" s="158">
        <f t="shared" si="70"/>
        <v>0</v>
      </c>
      <c r="I168" s="159">
        <f>+IF(F168="","",IF(H168&gt;0,ROUND(F168*H168,-2),ROUND(F168*G168,-2)))</f>
        <v>454800</v>
      </c>
      <c r="J168" s="160">
        <f t="shared" si="51"/>
        <v>16.5</v>
      </c>
      <c r="K168" s="143">
        <f t="shared" si="52"/>
        <v>7469</v>
      </c>
      <c r="L168" s="161">
        <f>+IF(I168="","",ROUND((I168/($C$7*($C$8+$C$9)/2)/3600),2))</f>
        <v>3.01</v>
      </c>
      <c r="M168" s="273">
        <f t="shared" si="63"/>
        <v>8.0940297599999997</v>
      </c>
      <c r="N168" s="77"/>
      <c r="O168" s="77"/>
      <c r="P168" s="77"/>
      <c r="Q168" s="77"/>
      <c r="R168" s="274">
        <f>+IF(B168="","",IF(H168&gt;0,H168*AG168/6858,G168*AG168/6858))</f>
        <v>78.040244969378833</v>
      </c>
      <c r="S168" s="163">
        <f>+IF(B168="","",I168*0.00334)</f>
        <v>1519.0320000000002</v>
      </c>
      <c r="T168" s="164">
        <f>+IF(B168="","",I168*0.00631)</f>
        <v>2869.788</v>
      </c>
      <c r="U168" s="149">
        <f t="shared" si="57"/>
        <v>18000</v>
      </c>
      <c r="V168" s="165">
        <f>+IF(K168="","",K168*5)</f>
        <v>37345</v>
      </c>
      <c r="W168" s="166">
        <f>IF(U168="","",+U168+V168)</f>
        <v>55345</v>
      </c>
      <c r="X168" s="167">
        <f>+IF(V168="","",V168*2)</f>
        <v>74690</v>
      </c>
      <c r="Y168" s="168">
        <f>+IF(U168="","",X168+U168)</f>
        <v>92690</v>
      </c>
      <c r="Z168" s="169">
        <f>(J168*$H$7)*5.5</f>
        <v>1089</v>
      </c>
      <c r="AA168" s="275">
        <f t="shared" si="69"/>
        <v>10890</v>
      </c>
      <c r="AB168" s="109"/>
      <c r="AC168" s="137">
        <f t="shared" si="58"/>
        <v>0</v>
      </c>
      <c r="AD168" s="137">
        <f t="shared" si="59"/>
        <v>0</v>
      </c>
      <c r="AE168" s="137">
        <f t="shared" si="60"/>
        <v>453600</v>
      </c>
      <c r="AF168" s="137">
        <f t="shared" si="61"/>
        <v>453600</v>
      </c>
      <c r="AG168" s="156">
        <f t="shared" si="62"/>
        <v>44600</v>
      </c>
      <c r="AH168" s="479"/>
    </row>
    <row r="169" spans="2:34" ht="15.75" hidden="1">
      <c r="B169" s="264" t="str">
        <f t="shared" ref="B169:B178" si="71">IF(B79="","",B79)</f>
        <v>American Coolair MNBF60M (60Hz) 1.5 hp</v>
      </c>
      <c r="C169" s="271"/>
      <c r="D169" s="271"/>
      <c r="E169" s="244">
        <f t="shared" si="47"/>
        <v>37.5</v>
      </c>
      <c r="F169" s="260">
        <f t="shared" si="48"/>
        <v>41310</v>
      </c>
      <c r="G169" s="139">
        <f t="shared" si="49"/>
        <v>11</v>
      </c>
      <c r="H169" s="158">
        <f t="shared" si="70"/>
        <v>0</v>
      </c>
      <c r="I169" s="159">
        <f t="shared" si="50"/>
        <v>454400</v>
      </c>
      <c r="J169" s="160">
        <f t="shared" si="51"/>
        <v>16.2</v>
      </c>
      <c r="K169" s="143">
        <f t="shared" si="52"/>
        <v>7329.2</v>
      </c>
      <c r="L169" s="161">
        <f t="shared" si="53"/>
        <v>3.01</v>
      </c>
      <c r="M169" s="273">
        <f t="shared" si="63"/>
        <v>8.0940297599999997</v>
      </c>
      <c r="N169" s="77"/>
      <c r="O169" s="77"/>
      <c r="P169" s="77"/>
      <c r="Q169" s="77"/>
      <c r="R169" s="274">
        <f t="shared" si="54"/>
        <v>79.348206474190732</v>
      </c>
      <c r="S169" s="163">
        <f t="shared" si="55"/>
        <v>1517.6960000000001</v>
      </c>
      <c r="T169" s="164">
        <f t="shared" si="56"/>
        <v>2867.2639999999997</v>
      </c>
      <c r="U169" s="149">
        <f t="shared" si="57"/>
        <v>24079</v>
      </c>
      <c r="V169" s="165">
        <f t="shared" si="64"/>
        <v>36646</v>
      </c>
      <c r="W169" s="166">
        <f t="shared" si="65"/>
        <v>60725</v>
      </c>
      <c r="X169" s="167">
        <f t="shared" si="66"/>
        <v>73292</v>
      </c>
      <c r="Y169" s="168">
        <f t="shared" si="67"/>
        <v>97371</v>
      </c>
      <c r="Z169" s="169">
        <f t="shared" si="68"/>
        <v>1069.1999999999998</v>
      </c>
      <c r="AA169" s="275">
        <f t="shared" si="69"/>
        <v>10691.999999999998</v>
      </c>
      <c r="AB169" s="109"/>
      <c r="AC169" s="137">
        <f t="shared" ref="AC169:AC177" si="72">+IF(I79="","",IF(I79&gt;=37.38,4,IF(I79&gt;=35.68,3,IF(I79&gt;=33.98,2,IF(I79&gt;=32.28,1,0)))))</f>
        <v>0</v>
      </c>
      <c r="AD169" s="137">
        <f>+IF(OR(H120="",E120=""),"",IF(N169&gt;0.82,4,IF(N169&gt;0.77,3,IF(N169&gt;0.72,2,IF(N169&gt;=0.7,1,0)))))</f>
        <v>0</v>
      </c>
      <c r="AE169" s="137">
        <f t="shared" si="60"/>
        <v>453600</v>
      </c>
      <c r="AF169" s="137">
        <f t="shared" si="61"/>
        <v>453600</v>
      </c>
      <c r="AG169" s="156">
        <f t="shared" ref="AG169:AG177" si="73">IF($H$9&gt;3.556,G79,IF($H$9&gt;=3.048,F79, IF($H$9&gt;=2.286,E79,IF($H$9&gt;=1.524,E79,E79))))</f>
        <v>49470</v>
      </c>
      <c r="AH169" s="479"/>
    </row>
    <row r="170" spans="2:34" ht="15.75" hidden="1">
      <c r="B170" s="264" t="str">
        <f t="shared" si="71"/>
        <v>American Coolair MNBFC60M (60Hz) CONE 1.5 hp</v>
      </c>
      <c r="C170" s="271"/>
      <c r="D170" s="271"/>
      <c r="E170" s="244">
        <f t="shared" si="47"/>
        <v>37.5</v>
      </c>
      <c r="F170" s="260">
        <f t="shared" si="48"/>
        <v>44880</v>
      </c>
      <c r="G170" s="139">
        <f t="shared" si="49"/>
        <v>11</v>
      </c>
      <c r="H170" s="158">
        <f t="shared" si="70"/>
        <v>0</v>
      </c>
      <c r="I170" s="159">
        <f t="shared" si="50"/>
        <v>493700</v>
      </c>
      <c r="J170" s="160">
        <f t="shared" si="51"/>
        <v>16.399999999999999</v>
      </c>
      <c r="K170" s="143">
        <f t="shared" si="52"/>
        <v>7392.4</v>
      </c>
      <c r="L170" s="161">
        <f t="shared" si="53"/>
        <v>3.27</v>
      </c>
      <c r="M170" s="273">
        <f t="shared" si="63"/>
        <v>9.5311090400000005</v>
      </c>
      <c r="N170" s="77"/>
      <c r="O170" s="77"/>
      <c r="P170" s="77"/>
      <c r="Q170" s="77"/>
      <c r="R170" s="274">
        <f t="shared" si="54"/>
        <v>87.255759696704573</v>
      </c>
      <c r="S170" s="163">
        <f t="shared" si="55"/>
        <v>1648.9580000000001</v>
      </c>
      <c r="T170" s="164">
        <f t="shared" si="56"/>
        <v>3115.2469999999998</v>
      </c>
      <c r="U170" s="149">
        <f t="shared" si="57"/>
        <v>26895</v>
      </c>
      <c r="V170" s="165">
        <f t="shared" si="64"/>
        <v>36962</v>
      </c>
      <c r="W170" s="166">
        <f t="shared" si="65"/>
        <v>63857</v>
      </c>
      <c r="X170" s="167">
        <f t="shared" si="66"/>
        <v>73924</v>
      </c>
      <c r="Y170" s="168">
        <f t="shared" si="67"/>
        <v>100819</v>
      </c>
      <c r="Z170" s="169">
        <f t="shared" si="68"/>
        <v>1082.3999999999999</v>
      </c>
      <c r="AA170" s="275">
        <f t="shared" si="69"/>
        <v>10823.999999999998</v>
      </c>
      <c r="AB170" s="109"/>
      <c r="AC170" s="137">
        <f t="shared" si="72"/>
        <v>1</v>
      </c>
      <c r="AD170" s="137">
        <f>+IF(OR(H121="",E121=""),"",IF(N170&gt;0.82,4,IF(N170&gt;0.77,3,IF(N170&gt;0.72,2,IF(N170&gt;=0.7,1,0)))))</f>
        <v>0</v>
      </c>
      <c r="AE170" s="137">
        <f t="shared" si="60"/>
        <v>453600</v>
      </c>
      <c r="AF170" s="137">
        <f t="shared" si="61"/>
        <v>453600</v>
      </c>
      <c r="AG170" s="156">
        <f t="shared" si="73"/>
        <v>54400</v>
      </c>
      <c r="AH170" s="479"/>
    </row>
    <row r="171" spans="2:34" ht="15.75" hidden="1">
      <c r="B171" s="264" t="str">
        <f t="shared" si="71"/>
        <v>American Coolair MNBFA54L (60Hz) 1hp</v>
      </c>
      <c r="C171" s="271"/>
      <c r="D171" s="271"/>
      <c r="E171" s="244">
        <f t="shared" si="47"/>
        <v>37.5</v>
      </c>
      <c r="F171" s="260">
        <f t="shared" si="48"/>
        <v>34690.199999999997</v>
      </c>
      <c r="G171" s="139">
        <f t="shared" si="49"/>
        <v>14</v>
      </c>
      <c r="H171" s="158">
        <f t="shared" si="70"/>
        <v>0</v>
      </c>
      <c r="I171" s="159">
        <f t="shared" si="50"/>
        <v>485700</v>
      </c>
      <c r="J171" s="160">
        <f t="shared" si="51"/>
        <v>16.2</v>
      </c>
      <c r="K171" s="143">
        <f t="shared" si="52"/>
        <v>7299.2</v>
      </c>
      <c r="L171" s="161">
        <f t="shared" si="53"/>
        <v>3.21</v>
      </c>
      <c r="M171" s="273">
        <f t="shared" si="63"/>
        <v>9.1890641600000009</v>
      </c>
      <c r="N171" s="77"/>
      <c r="O171" s="77"/>
      <c r="P171" s="77"/>
      <c r="Q171" s="77"/>
      <c r="R171" s="274">
        <f t="shared" si="54"/>
        <v>82.137416156313805</v>
      </c>
      <c r="S171" s="163">
        <f t="shared" si="55"/>
        <v>1622.2380000000001</v>
      </c>
      <c r="T171" s="164">
        <f t="shared" si="56"/>
        <v>3064.7669999999998</v>
      </c>
      <c r="U171" s="149">
        <f t="shared" si="57"/>
        <v>24612</v>
      </c>
      <c r="V171" s="165">
        <f t="shared" si="64"/>
        <v>36496</v>
      </c>
      <c r="W171" s="166">
        <f t="shared" si="65"/>
        <v>61108</v>
      </c>
      <c r="X171" s="167">
        <f t="shared" si="66"/>
        <v>72992</v>
      </c>
      <c r="Y171" s="168">
        <f t="shared" si="67"/>
        <v>97604</v>
      </c>
      <c r="Z171" s="169">
        <f t="shared" si="68"/>
        <v>1069.1999999999998</v>
      </c>
      <c r="AA171" s="275">
        <f t="shared" si="69"/>
        <v>10691.999999999998</v>
      </c>
      <c r="AB171" s="109"/>
      <c r="AC171" s="137">
        <f t="shared" si="72"/>
        <v>1</v>
      </c>
      <c r="AD171" s="137">
        <f t="shared" ref="AD171:AD178" si="74">+IF(OR(H125="",E125=""),"",IF(N171&gt;0.82,4,IF(N171&gt;0.77,3,IF(N171&gt;0.72,2,IF(N171&gt;=0.7,1,0)))))</f>
        <v>0</v>
      </c>
      <c r="AE171" s="137">
        <f t="shared" si="60"/>
        <v>453600</v>
      </c>
      <c r="AF171" s="137">
        <f t="shared" si="61"/>
        <v>453600</v>
      </c>
      <c r="AG171" s="156">
        <f t="shared" si="73"/>
        <v>40235.599999999999</v>
      </c>
      <c r="AH171" s="479"/>
    </row>
    <row r="172" spans="2:34" ht="15.75" hidden="1">
      <c r="B172" s="264" t="str">
        <f t="shared" si="71"/>
        <v>American Coolair MNBFA54M (60Hz) 1.5hp)</v>
      </c>
      <c r="C172" s="271"/>
      <c r="D172" s="271"/>
      <c r="E172" s="244">
        <f t="shared" si="47"/>
        <v>37.5</v>
      </c>
      <c r="F172" s="260">
        <f t="shared" si="48"/>
        <v>40294</v>
      </c>
      <c r="G172" s="139">
        <f t="shared" si="49"/>
        <v>12</v>
      </c>
      <c r="H172" s="158">
        <f t="shared" si="70"/>
        <v>0</v>
      </c>
      <c r="I172" s="159">
        <f t="shared" si="50"/>
        <v>483500</v>
      </c>
      <c r="J172" s="160">
        <f t="shared" si="51"/>
        <v>19.5</v>
      </c>
      <c r="K172" s="143">
        <f t="shared" si="52"/>
        <v>8797</v>
      </c>
      <c r="L172" s="161">
        <f t="shared" si="53"/>
        <v>3.2</v>
      </c>
      <c r="M172" s="273">
        <f t="shared" si="63"/>
        <v>9.1326640000000019</v>
      </c>
      <c r="N172" s="77"/>
      <c r="O172" s="77"/>
      <c r="P172" s="77"/>
      <c r="Q172" s="77"/>
      <c r="R172" s="274">
        <f t="shared" si="54"/>
        <v>78.813648293963254</v>
      </c>
      <c r="S172" s="163">
        <f t="shared" si="55"/>
        <v>1614.89</v>
      </c>
      <c r="T172" s="164">
        <f t="shared" si="56"/>
        <v>3050.8849999999998</v>
      </c>
      <c r="U172" s="149">
        <f t="shared" si="57"/>
        <v>21960</v>
      </c>
      <c r="V172" s="165">
        <f t="shared" si="64"/>
        <v>43985</v>
      </c>
      <c r="W172" s="166">
        <f t="shared" si="65"/>
        <v>65945</v>
      </c>
      <c r="X172" s="167">
        <f t="shared" si="66"/>
        <v>87970</v>
      </c>
      <c r="Y172" s="168">
        <f t="shared" si="67"/>
        <v>109930</v>
      </c>
      <c r="Z172" s="169">
        <f t="shared" si="68"/>
        <v>1287</v>
      </c>
      <c r="AA172" s="275">
        <f t="shared" si="69"/>
        <v>12870</v>
      </c>
      <c r="AB172" s="109"/>
      <c r="AC172" s="137">
        <f t="shared" si="72"/>
        <v>0</v>
      </c>
      <c r="AD172" s="137">
        <f t="shared" si="74"/>
        <v>0</v>
      </c>
      <c r="AE172" s="137">
        <f t="shared" si="60"/>
        <v>453600</v>
      </c>
      <c r="AF172" s="137">
        <f t="shared" si="61"/>
        <v>453600</v>
      </c>
      <c r="AG172" s="156">
        <f t="shared" si="73"/>
        <v>45042</v>
      </c>
      <c r="AH172" s="479"/>
    </row>
    <row r="173" spans="2:34" ht="15.75" hidden="1">
      <c r="B173" s="264" t="str">
        <f t="shared" si="71"/>
        <v>American Coolair MNBFA54N (60Hz) 2hp</v>
      </c>
      <c r="C173" s="271"/>
      <c r="D173" s="271"/>
      <c r="E173" s="244">
        <f t="shared" si="47"/>
        <v>37.5</v>
      </c>
      <c r="F173" s="260">
        <f t="shared" si="48"/>
        <v>44529</v>
      </c>
      <c r="G173" s="139">
        <f t="shared" si="49"/>
        <v>11</v>
      </c>
      <c r="H173" s="158">
        <f t="shared" si="70"/>
        <v>0</v>
      </c>
      <c r="I173" s="159">
        <f t="shared" si="50"/>
        <v>489800</v>
      </c>
      <c r="J173" s="160">
        <f t="shared" si="51"/>
        <v>25.6</v>
      </c>
      <c r="K173" s="143">
        <f t="shared" si="52"/>
        <v>11549.6</v>
      </c>
      <c r="L173" s="161">
        <f t="shared" si="53"/>
        <v>3.24</v>
      </c>
      <c r="M173" s="273">
        <f t="shared" si="63"/>
        <v>9.3593057600000034</v>
      </c>
      <c r="N173" s="77"/>
      <c r="O173" s="77"/>
      <c r="P173" s="77"/>
      <c r="Q173" s="77"/>
      <c r="R173" s="274">
        <f t="shared" si="54"/>
        <v>78.39384660250802</v>
      </c>
      <c r="S173" s="163">
        <f t="shared" si="55"/>
        <v>1635.932</v>
      </c>
      <c r="T173" s="164">
        <f t="shared" si="56"/>
        <v>3090.6379999999999</v>
      </c>
      <c r="U173" s="149">
        <f t="shared" si="57"/>
        <v>20812</v>
      </c>
      <c r="V173" s="165">
        <f t="shared" si="64"/>
        <v>57748</v>
      </c>
      <c r="W173" s="166">
        <f t="shared" si="65"/>
        <v>78560</v>
      </c>
      <c r="X173" s="167">
        <f t="shared" si="66"/>
        <v>115496</v>
      </c>
      <c r="Y173" s="168">
        <f t="shared" si="67"/>
        <v>136308</v>
      </c>
      <c r="Z173" s="169">
        <f t="shared" si="68"/>
        <v>1689.6000000000004</v>
      </c>
      <c r="AA173" s="275">
        <f t="shared" si="69"/>
        <v>16896.000000000004</v>
      </c>
      <c r="AB173" s="109"/>
      <c r="AC173" s="137">
        <f t="shared" si="72"/>
        <v>0</v>
      </c>
      <c r="AD173" s="137">
        <f t="shared" si="74"/>
        <v>0</v>
      </c>
      <c r="AE173" s="137">
        <f t="shared" si="60"/>
        <v>453600</v>
      </c>
      <c r="AF173" s="137">
        <f t="shared" si="61"/>
        <v>453600</v>
      </c>
      <c r="AG173" s="156">
        <f t="shared" si="73"/>
        <v>48875</v>
      </c>
      <c r="AH173" s="479"/>
    </row>
    <row r="174" spans="2:34" ht="15.75" hidden="1">
      <c r="B174" s="264" t="str">
        <f t="shared" si="71"/>
        <v>American Coolair MNBFA48L (60Hz) 1hp with CONE</v>
      </c>
      <c r="C174" s="271"/>
      <c r="D174" s="271"/>
      <c r="E174" s="244">
        <f t="shared" si="47"/>
        <v>37.5</v>
      </c>
      <c r="F174" s="260">
        <f t="shared" si="48"/>
        <v>26651</v>
      </c>
      <c r="G174" s="139">
        <f t="shared" si="49"/>
        <v>18</v>
      </c>
      <c r="H174" s="158">
        <f t="shared" si="70"/>
        <v>0</v>
      </c>
      <c r="I174" s="159">
        <f t="shared" si="50"/>
        <v>479700</v>
      </c>
      <c r="J174" s="160">
        <f t="shared" si="51"/>
        <v>16.7</v>
      </c>
      <c r="K174" s="143">
        <f t="shared" si="52"/>
        <v>7542.2</v>
      </c>
      <c r="L174" s="161">
        <f t="shared" si="53"/>
        <v>3.17</v>
      </c>
      <c r="M174" s="273">
        <f t="shared" si="63"/>
        <v>8.9645046400000012</v>
      </c>
      <c r="N174" s="77"/>
      <c r="O174" s="77"/>
      <c r="P174" s="77"/>
      <c r="Q174" s="77"/>
      <c r="R174" s="274">
        <f t="shared" si="54"/>
        <v>82.380577427821521</v>
      </c>
      <c r="S174" s="163">
        <f t="shared" si="55"/>
        <v>1602.1980000000001</v>
      </c>
      <c r="T174" s="164">
        <f t="shared" si="56"/>
        <v>3026.9069999999997</v>
      </c>
      <c r="U174" s="149">
        <f t="shared" si="57"/>
        <v>26244</v>
      </c>
      <c r="V174" s="165">
        <f t="shared" si="64"/>
        <v>37711</v>
      </c>
      <c r="W174" s="166">
        <f t="shared" si="65"/>
        <v>63955</v>
      </c>
      <c r="X174" s="167">
        <f t="shared" si="66"/>
        <v>75422</v>
      </c>
      <c r="Y174" s="168">
        <f t="shared" si="67"/>
        <v>101666</v>
      </c>
      <c r="Z174" s="169">
        <f t="shared" si="68"/>
        <v>1102.1999999999998</v>
      </c>
      <c r="AA174" s="275">
        <f t="shared" si="69"/>
        <v>11021.999999999998</v>
      </c>
      <c r="AB174" s="109"/>
      <c r="AC174" s="137">
        <f t="shared" si="72"/>
        <v>0</v>
      </c>
      <c r="AD174" s="137">
        <f t="shared" si="74"/>
        <v>0</v>
      </c>
      <c r="AE174" s="137">
        <f t="shared" si="60"/>
        <v>453600</v>
      </c>
      <c r="AF174" s="137">
        <f t="shared" si="61"/>
        <v>453600</v>
      </c>
      <c r="AG174" s="156">
        <f t="shared" si="73"/>
        <v>31387</v>
      </c>
      <c r="AH174" s="479"/>
    </row>
    <row r="175" spans="2:34" ht="15.75" hidden="1">
      <c r="B175" s="264" t="str">
        <f t="shared" si="71"/>
        <v>American Coolair MNCFC52L (60Hz) CONE 1hp</v>
      </c>
      <c r="C175" s="271"/>
      <c r="D175" s="271"/>
      <c r="E175" s="244">
        <f t="shared" si="47"/>
        <v>37.5</v>
      </c>
      <c r="F175" s="260">
        <f t="shared" si="48"/>
        <v>33150</v>
      </c>
      <c r="G175" s="139">
        <f t="shared" si="49"/>
        <v>14</v>
      </c>
      <c r="H175" s="158">
        <f t="shared" si="70"/>
        <v>0</v>
      </c>
      <c r="I175" s="159">
        <f t="shared" si="50"/>
        <v>464100</v>
      </c>
      <c r="J175" s="160">
        <f t="shared" si="51"/>
        <v>17.3</v>
      </c>
      <c r="K175" s="143">
        <f t="shared" si="52"/>
        <v>7811.8</v>
      </c>
      <c r="L175" s="161">
        <f t="shared" si="53"/>
        <v>3.07</v>
      </c>
      <c r="M175" s="273">
        <f t="shared" si="63"/>
        <v>8.4152522400000009</v>
      </c>
      <c r="N175" s="77"/>
      <c r="O175" s="77"/>
      <c r="P175" s="77"/>
      <c r="Q175" s="77"/>
      <c r="R175" s="274">
        <f t="shared" si="54"/>
        <v>84.330708661417319</v>
      </c>
      <c r="S175" s="163">
        <f t="shared" si="55"/>
        <v>1550.0940000000001</v>
      </c>
      <c r="T175" s="164">
        <f t="shared" si="56"/>
        <v>2928.471</v>
      </c>
      <c r="U175" s="149">
        <f t="shared" si="57"/>
        <v>23912</v>
      </c>
      <c r="V175" s="165">
        <f t="shared" si="64"/>
        <v>39059</v>
      </c>
      <c r="W175" s="166">
        <f t="shared" si="65"/>
        <v>62971</v>
      </c>
      <c r="X175" s="167">
        <f t="shared" si="66"/>
        <v>78118</v>
      </c>
      <c r="Y175" s="168">
        <f t="shared" si="67"/>
        <v>102030</v>
      </c>
      <c r="Z175" s="169">
        <f t="shared" si="68"/>
        <v>1141.8000000000002</v>
      </c>
      <c r="AA175" s="275">
        <f t="shared" si="69"/>
        <v>11418.000000000002</v>
      </c>
      <c r="AB175" s="109"/>
      <c r="AC175" s="137">
        <f t="shared" si="72"/>
        <v>0</v>
      </c>
      <c r="AD175" s="137">
        <f t="shared" si="74"/>
        <v>0</v>
      </c>
      <c r="AE175" s="137">
        <f t="shared" si="60"/>
        <v>453600</v>
      </c>
      <c r="AF175" s="137">
        <f t="shared" si="61"/>
        <v>453600</v>
      </c>
      <c r="AG175" s="156">
        <f t="shared" si="73"/>
        <v>41310</v>
      </c>
      <c r="AH175" s="479"/>
    </row>
    <row r="176" spans="2:34" ht="16.5" hidden="1" customHeight="1">
      <c r="B176" s="264" t="str">
        <f t="shared" si="71"/>
        <v>American Coolair MNBCCE54L (60 Hz) CONE 1hp</v>
      </c>
      <c r="C176" s="271"/>
      <c r="D176" s="271"/>
      <c r="E176" s="244">
        <f t="shared" si="47"/>
        <v>37.5</v>
      </c>
      <c r="F176" s="260">
        <f t="shared" si="48"/>
        <v>36019</v>
      </c>
      <c r="G176" s="139">
        <f t="shared" si="49"/>
        <v>13</v>
      </c>
      <c r="H176" s="158">
        <f t="shared" si="70"/>
        <v>0</v>
      </c>
      <c r="I176" s="159">
        <f t="shared" si="50"/>
        <v>468200</v>
      </c>
      <c r="J176" s="160">
        <f t="shared" si="51"/>
        <v>11.3</v>
      </c>
      <c r="K176" s="143">
        <f t="shared" si="52"/>
        <v>5115.8</v>
      </c>
      <c r="L176" s="161">
        <f t="shared" si="53"/>
        <v>3.1</v>
      </c>
      <c r="M176" s="273">
        <f t="shared" si="63"/>
        <v>8.5782060000000016</v>
      </c>
      <c r="N176" s="77"/>
      <c r="O176" s="77"/>
      <c r="P176" s="77"/>
      <c r="Q176" s="77"/>
      <c r="R176" s="274">
        <f t="shared" si="54"/>
        <v>82.447069116360453</v>
      </c>
      <c r="S176" s="163">
        <f t="shared" si="55"/>
        <v>1563.788</v>
      </c>
      <c r="T176" s="164">
        <f t="shared" si="56"/>
        <v>2954.3419999999996</v>
      </c>
      <c r="U176" s="149">
        <f t="shared" si="57"/>
        <v>24544</v>
      </c>
      <c r="V176" s="165">
        <f t="shared" si="64"/>
        <v>25579</v>
      </c>
      <c r="W176" s="166">
        <f t="shared" si="65"/>
        <v>50123</v>
      </c>
      <c r="X176" s="167">
        <f t="shared" si="66"/>
        <v>51158</v>
      </c>
      <c r="Y176" s="168">
        <f t="shared" si="67"/>
        <v>75702</v>
      </c>
      <c r="Z176" s="169">
        <f t="shared" si="68"/>
        <v>745.80000000000018</v>
      </c>
      <c r="AA176" s="275">
        <f t="shared" si="69"/>
        <v>7458.0000000000018</v>
      </c>
      <c r="AB176" s="109"/>
      <c r="AC176" s="137">
        <f t="shared" si="72"/>
        <v>4</v>
      </c>
      <c r="AD176" s="137">
        <f t="shared" si="74"/>
        <v>0</v>
      </c>
      <c r="AE176" s="137">
        <f t="shared" si="60"/>
        <v>453600</v>
      </c>
      <c r="AF176" s="137">
        <f t="shared" si="61"/>
        <v>453600</v>
      </c>
      <c r="AG176" s="156">
        <f t="shared" si="73"/>
        <v>43494</v>
      </c>
      <c r="AH176" s="479"/>
    </row>
    <row r="177" spans="2:34" ht="15.75" hidden="1">
      <c r="B177" s="264" t="str">
        <f t="shared" si="71"/>
        <v>American Coolair MNCFE52L (60Hz) 1hp</v>
      </c>
      <c r="C177" s="271"/>
      <c r="D177" s="271"/>
      <c r="E177" s="244">
        <f t="shared" si="47"/>
        <v>37.5</v>
      </c>
      <c r="F177" s="260">
        <f t="shared" si="48"/>
        <v>28050</v>
      </c>
      <c r="G177" s="139">
        <f t="shared" si="49"/>
        <v>17</v>
      </c>
      <c r="H177" s="158">
        <f t="shared" si="70"/>
        <v>0</v>
      </c>
      <c r="I177" s="159">
        <f t="shared" si="50"/>
        <v>476900</v>
      </c>
      <c r="J177" s="160">
        <f t="shared" si="51"/>
        <v>16.399999999999999</v>
      </c>
      <c r="K177" s="143">
        <f t="shared" si="52"/>
        <v>7402.4</v>
      </c>
      <c r="L177" s="161">
        <f t="shared" si="53"/>
        <v>3.15</v>
      </c>
      <c r="M177" s="273">
        <f t="shared" si="63"/>
        <v>8.8532659999999996</v>
      </c>
      <c r="N177" s="77"/>
      <c r="O177" s="77"/>
      <c r="P177" s="77"/>
      <c r="Q177" s="77"/>
      <c r="R177" s="274">
        <f t="shared" si="54"/>
        <v>88.073782443861191</v>
      </c>
      <c r="S177" s="163">
        <f t="shared" si="55"/>
        <v>1592.846</v>
      </c>
      <c r="T177" s="164">
        <f t="shared" si="56"/>
        <v>3009.239</v>
      </c>
      <c r="U177" s="149">
        <f t="shared" si="57"/>
        <v>24990</v>
      </c>
      <c r="V177" s="165">
        <f t="shared" si="64"/>
        <v>37012</v>
      </c>
      <c r="W177" s="166">
        <f t="shared" si="65"/>
        <v>62002</v>
      </c>
      <c r="X177" s="167">
        <f t="shared" si="66"/>
        <v>74024</v>
      </c>
      <c r="Y177" s="168">
        <f t="shared" si="67"/>
        <v>99014</v>
      </c>
      <c r="Z177" s="169">
        <f t="shared" si="68"/>
        <v>1082.3999999999999</v>
      </c>
      <c r="AA177" s="275">
        <f t="shared" si="69"/>
        <v>10823.999999999998</v>
      </c>
      <c r="AB177" s="109"/>
      <c r="AC177" s="137">
        <f t="shared" si="72"/>
        <v>1</v>
      </c>
      <c r="AD177" s="137">
        <f t="shared" si="74"/>
        <v>0</v>
      </c>
      <c r="AE177" s="137">
        <f t="shared" si="60"/>
        <v>453600</v>
      </c>
      <c r="AF177" s="137">
        <f t="shared" si="61"/>
        <v>453600</v>
      </c>
      <c r="AG177" s="156">
        <f t="shared" si="73"/>
        <v>35530</v>
      </c>
      <c r="AH177" s="479"/>
    </row>
    <row r="178" spans="2:34" ht="15.75" hidden="1">
      <c r="B178" s="264" t="str">
        <f t="shared" si="71"/>
        <v>Chore-Time 52157-51 (54", 1.5hp, 3 blade) CONE</v>
      </c>
      <c r="C178" s="271"/>
      <c r="D178" s="271"/>
      <c r="E178" s="244">
        <f t="shared" si="47"/>
        <v>37.5</v>
      </c>
      <c r="F178" s="260">
        <f t="shared" si="48"/>
        <v>43834</v>
      </c>
      <c r="G178" s="139">
        <f t="shared" si="49"/>
        <v>11</v>
      </c>
      <c r="H178" s="158">
        <f t="shared" si="70"/>
        <v>0</v>
      </c>
      <c r="I178" s="159">
        <f t="shared" si="50"/>
        <v>482200</v>
      </c>
      <c r="J178" s="160">
        <f t="shared" si="51"/>
        <v>15.6</v>
      </c>
      <c r="K178" s="143">
        <f t="shared" si="52"/>
        <v>7039.6</v>
      </c>
      <c r="L178" s="161">
        <f t="shared" si="53"/>
        <v>3.19</v>
      </c>
      <c r="M178" s="273">
        <f t="shared" si="63"/>
        <v>9.0764373600000017</v>
      </c>
      <c r="N178" s="77"/>
      <c r="O178" s="77"/>
      <c r="P178" s="77"/>
      <c r="Q178" s="77"/>
      <c r="R178" s="274">
        <f>+IF(B178="","",IF(H178&gt;0,H178*AG178/6858,G178*AG178/6858))</f>
        <v>82.299504228638085</v>
      </c>
      <c r="S178" s="163">
        <f>+IF(B178="","",I178*0.00334)</f>
        <v>1610.548</v>
      </c>
      <c r="T178" s="164">
        <f>+IF(B178="","",I178*0.00631)</f>
        <v>3042.6819999999998</v>
      </c>
      <c r="U178" s="149">
        <f t="shared" si="57"/>
        <v>16962</v>
      </c>
      <c r="V178" s="165">
        <f>+IF(K178="","",K178*5)</f>
        <v>35198</v>
      </c>
      <c r="W178" s="166">
        <f>IF(U178="","",+U178+V178)</f>
        <v>52160</v>
      </c>
      <c r="X178" s="167">
        <f>+IF(V178="","",V178*2)</f>
        <v>70396</v>
      </c>
      <c r="Y178" s="168">
        <f>+IF(U178="","",X178+U178)</f>
        <v>87358</v>
      </c>
      <c r="Z178" s="169">
        <f>(J178*$H$7)*5.5</f>
        <v>1029.5999999999999</v>
      </c>
      <c r="AA178" s="275">
        <f t="shared" si="69"/>
        <v>10296</v>
      </c>
      <c r="AB178" s="109"/>
      <c r="AC178" s="137">
        <f>+IF(I88="","",IF(I88&gt;=37.38,4,IF(I88&gt;=35.68,3,IF(I88&gt;=33.98,2,IF(I88&gt;=32.28,1,0)))))</f>
        <v>1</v>
      </c>
      <c r="AD178" s="137">
        <f t="shared" si="74"/>
        <v>0</v>
      </c>
      <c r="AE178" s="137">
        <f t="shared" si="60"/>
        <v>453600</v>
      </c>
      <c r="AF178" s="137">
        <f t="shared" si="61"/>
        <v>453600</v>
      </c>
      <c r="AG178" s="156">
        <f>IF($H$9&gt;3.556,G88,IF($H$9&gt;=3.048,F88, IF($H$9&gt;=2.286,E88,IF($H$9&gt;=1.524,E88,E88))))</f>
        <v>51310</v>
      </c>
      <c r="AH178" s="479"/>
    </row>
    <row r="179" spans="2:34" ht="15.75" hidden="1">
      <c r="B179" s="264" t="str">
        <f t="shared" ref="B179:B191" si="75">IF(B89="","",B89)</f>
        <v>Multifan MF130 0.75kW (50.5", 1.0hp, 3 blade)</v>
      </c>
      <c r="C179" s="271"/>
      <c r="D179" s="271"/>
      <c r="E179" s="244">
        <f t="shared" si="47"/>
        <v>37.5</v>
      </c>
      <c r="F179" s="260">
        <f t="shared" si="48"/>
        <v>27200</v>
      </c>
      <c r="G179" s="139">
        <f t="shared" si="49"/>
        <v>17</v>
      </c>
      <c r="H179" s="158">
        <f t="shared" si="70"/>
        <v>0</v>
      </c>
      <c r="I179" s="159">
        <f t="shared" si="50"/>
        <v>462400</v>
      </c>
      <c r="J179" s="160">
        <f t="shared" si="51"/>
        <v>20</v>
      </c>
      <c r="K179" s="143">
        <f t="shared" si="52"/>
        <v>9030</v>
      </c>
      <c r="L179" s="161">
        <f t="shared" si="53"/>
        <v>3.06</v>
      </c>
      <c r="M179" s="273">
        <f t="shared" si="63"/>
        <v>8.3612813600000013</v>
      </c>
      <c r="N179" s="77"/>
      <c r="O179" s="77"/>
      <c r="P179" s="77"/>
      <c r="Q179" s="77"/>
      <c r="R179" s="274">
        <f t="shared" si="54"/>
        <v>87.751531058617672</v>
      </c>
      <c r="S179" s="163">
        <f t="shared" si="55"/>
        <v>1544.4159999999999</v>
      </c>
      <c r="T179" s="164">
        <f t="shared" si="56"/>
        <v>2917.7439999999997</v>
      </c>
      <c r="U179" s="149">
        <f t="shared" si="57"/>
        <v>12240</v>
      </c>
      <c r="V179" s="165">
        <f t="shared" si="64"/>
        <v>45150</v>
      </c>
      <c r="W179" s="166">
        <f t="shared" si="65"/>
        <v>57390</v>
      </c>
      <c r="X179" s="167">
        <f t="shared" si="66"/>
        <v>90300</v>
      </c>
      <c r="Y179" s="168">
        <f t="shared" si="67"/>
        <v>102540</v>
      </c>
      <c r="Z179" s="169">
        <f t="shared" si="68"/>
        <v>1320</v>
      </c>
      <c r="AA179" s="275">
        <f t="shared" si="69"/>
        <v>13200</v>
      </c>
      <c r="AB179" s="109"/>
      <c r="AC179" s="137">
        <f t="shared" ref="AC179:AC184" si="76">+IF(I89="","",IF(I89&gt;=37.38,4,IF(I89&gt;=35.68,3,IF(I89&gt;=33.98,2,IF(I89&gt;=32.28,1,0)))))</f>
        <v>0</v>
      </c>
      <c r="AD179" s="137" t="e">
        <f>+IF(OR(#REF!="",#REF!=""),"",IF(N179&gt;0.82,4,IF(N179&gt;0.77,3,IF(N179&gt;0.72,2,IF(N179&gt;=0.7,1,0)))))</f>
        <v>#REF!</v>
      </c>
      <c r="AE179" s="137">
        <f t="shared" si="60"/>
        <v>453600</v>
      </c>
      <c r="AF179" s="137">
        <f t="shared" si="61"/>
        <v>453600</v>
      </c>
      <c r="AG179" s="156">
        <f t="shared" ref="AG179:AG191" si="77">IF($H$9&gt;3.556,G89,IF($H$9&gt;=3.048,F89, IF($H$9&gt;=2.286,E89,IF($H$9&gt;=1.524,E89,E89))))</f>
        <v>35400</v>
      </c>
      <c r="AH179" s="479"/>
    </row>
    <row r="180" spans="2:34" ht="15.75" hidden="1">
      <c r="B180" s="264" t="str">
        <f t="shared" si="75"/>
        <v>Multifan MF130 1.12 kW (50.5", 1.5 hp, 3 blade)</v>
      </c>
      <c r="C180" s="271"/>
      <c r="D180" s="271"/>
      <c r="E180" s="244">
        <f t="shared" si="47"/>
        <v>37.5</v>
      </c>
      <c r="F180" s="260">
        <f t="shared" si="48"/>
        <v>34600</v>
      </c>
      <c r="G180" s="139">
        <f t="shared" si="49"/>
        <v>14</v>
      </c>
      <c r="H180" s="158">
        <f t="shared" si="70"/>
        <v>0</v>
      </c>
      <c r="I180" s="159">
        <f t="shared" si="50"/>
        <v>484400</v>
      </c>
      <c r="J180" s="160">
        <f t="shared" si="51"/>
        <v>20.8</v>
      </c>
      <c r="K180" s="143">
        <f t="shared" si="52"/>
        <v>9402.7999999999993</v>
      </c>
      <c r="L180" s="161">
        <f t="shared" si="53"/>
        <v>3.2</v>
      </c>
      <c r="M180" s="273">
        <f t="shared" si="63"/>
        <v>9.1326640000000019</v>
      </c>
      <c r="N180" s="77"/>
      <c r="O180" s="77"/>
      <c r="P180" s="77"/>
      <c r="Q180" s="77"/>
      <c r="R180" s="274">
        <f t="shared" si="54"/>
        <v>82.064741907261592</v>
      </c>
      <c r="S180" s="163">
        <f t="shared" si="55"/>
        <v>1617.896</v>
      </c>
      <c r="T180" s="164">
        <f t="shared" si="56"/>
        <v>3056.5639999999999</v>
      </c>
      <c r="U180" s="149">
        <f t="shared" si="57"/>
        <v>10080</v>
      </c>
      <c r="V180" s="165">
        <f t="shared" si="64"/>
        <v>47014</v>
      </c>
      <c r="W180" s="166">
        <f t="shared" si="65"/>
        <v>57094</v>
      </c>
      <c r="X180" s="167">
        <f t="shared" si="66"/>
        <v>94028</v>
      </c>
      <c r="Y180" s="168">
        <f t="shared" si="67"/>
        <v>104108</v>
      </c>
      <c r="Z180" s="169">
        <f t="shared" si="68"/>
        <v>1372.8000000000002</v>
      </c>
      <c r="AA180" s="275">
        <f t="shared" si="69"/>
        <v>13728.000000000002</v>
      </c>
      <c r="AB180" s="109"/>
      <c r="AC180" s="137">
        <f t="shared" si="76"/>
        <v>0</v>
      </c>
      <c r="AD180" s="137" t="e">
        <f>+IF(OR(#REF!="",#REF!=""),"",IF(N180&gt;0.82,4,IF(N180&gt;0.77,3,IF(N180&gt;0.72,2,IF(N180&gt;=0.7,1,0)))))</f>
        <v>#REF!</v>
      </c>
      <c r="AE180" s="137">
        <f t="shared" si="60"/>
        <v>453600</v>
      </c>
      <c r="AF180" s="137">
        <f t="shared" si="61"/>
        <v>453600</v>
      </c>
      <c r="AG180" s="156">
        <f t="shared" si="77"/>
        <v>40200</v>
      </c>
      <c r="AH180" s="479"/>
    </row>
    <row r="181" spans="2:34" ht="15.75" hidden="1">
      <c r="B181" s="264" t="str">
        <f t="shared" si="75"/>
        <v>Multifan MF130 0.75 kW (50.5", 1.0 hp, 3 blade) CONE</v>
      </c>
      <c r="C181" s="271"/>
      <c r="D181" s="271"/>
      <c r="E181" s="244">
        <f t="shared" si="47"/>
        <v>37.5</v>
      </c>
      <c r="F181" s="260">
        <f t="shared" si="48"/>
        <v>32400</v>
      </c>
      <c r="G181" s="139">
        <f t="shared" si="49"/>
        <v>14</v>
      </c>
      <c r="H181" s="158">
        <f t="shared" si="70"/>
        <v>0</v>
      </c>
      <c r="I181" s="159">
        <f t="shared" si="50"/>
        <v>453600</v>
      </c>
      <c r="J181" s="160">
        <f t="shared" si="51"/>
        <v>16.399999999999999</v>
      </c>
      <c r="K181" s="143">
        <f t="shared" si="52"/>
        <v>7402.4</v>
      </c>
      <c r="L181" s="161">
        <f t="shared" si="53"/>
        <v>3</v>
      </c>
      <c r="M181" s="273">
        <f t="shared" si="63"/>
        <v>8.0411000000000019</v>
      </c>
      <c r="N181" s="77"/>
      <c r="O181" s="77"/>
      <c r="P181" s="77"/>
      <c r="Q181" s="77"/>
      <c r="R181" s="274">
        <f t="shared" si="54"/>
        <v>79.206765820939054</v>
      </c>
      <c r="S181" s="163">
        <f t="shared" si="55"/>
        <v>1515.0240000000001</v>
      </c>
      <c r="T181" s="164">
        <f t="shared" si="56"/>
        <v>2862.2159999999999</v>
      </c>
      <c r="U181" s="149">
        <f t="shared" si="57"/>
        <v>12460</v>
      </c>
      <c r="V181" s="165">
        <f t="shared" si="64"/>
        <v>37012</v>
      </c>
      <c r="W181" s="166">
        <f t="shared" si="65"/>
        <v>49472</v>
      </c>
      <c r="X181" s="167">
        <f t="shared" si="66"/>
        <v>74024</v>
      </c>
      <c r="Y181" s="168">
        <f t="shared" si="67"/>
        <v>86484</v>
      </c>
      <c r="Z181" s="169">
        <f t="shared" si="68"/>
        <v>1082.3999999999999</v>
      </c>
      <c r="AA181" s="275">
        <f t="shared" si="69"/>
        <v>10823.999999999998</v>
      </c>
      <c r="AB181" s="109"/>
      <c r="AC181" s="137">
        <f t="shared" si="76"/>
        <v>0</v>
      </c>
      <c r="AD181" s="137">
        <f t="shared" ref="AD181:AD191" si="78">+IF(OR(H135="",E135=""),"",IF(N181&gt;0.82,4,IF(N181&gt;0.77,3,IF(N181&gt;0.72,2,IF(N181&gt;=0.7,1,0)))))</f>
        <v>0</v>
      </c>
      <c r="AE181" s="137">
        <f t="shared" si="60"/>
        <v>453600</v>
      </c>
      <c r="AF181" s="137">
        <f t="shared" si="61"/>
        <v>453600</v>
      </c>
      <c r="AG181" s="156">
        <f t="shared" si="77"/>
        <v>38800</v>
      </c>
      <c r="AH181" s="479"/>
    </row>
    <row r="182" spans="2:34" ht="15.75" hidden="1">
      <c r="B182" s="264" t="str">
        <f t="shared" si="75"/>
        <v>Multifan MF130 1.12 kW (50.5", 1.5 hp, 3 blade) CONE</v>
      </c>
      <c r="C182" s="271"/>
      <c r="D182" s="271"/>
      <c r="E182" s="244">
        <f t="shared" si="47"/>
        <v>37.5</v>
      </c>
      <c r="F182" s="260">
        <f t="shared" si="48"/>
        <v>38900</v>
      </c>
      <c r="G182" s="139">
        <f t="shared" si="49"/>
        <v>12</v>
      </c>
      <c r="H182" s="158">
        <f t="shared" si="70"/>
        <v>0</v>
      </c>
      <c r="I182" s="159">
        <f t="shared" si="50"/>
        <v>466800</v>
      </c>
      <c r="J182" s="160">
        <f t="shared" si="51"/>
        <v>17.600000000000001</v>
      </c>
      <c r="K182" s="143">
        <f t="shared" si="52"/>
        <v>7931.6</v>
      </c>
      <c r="L182" s="161">
        <f t="shared" si="53"/>
        <v>3.09</v>
      </c>
      <c r="M182" s="273">
        <f t="shared" si="63"/>
        <v>8.5237145600000019</v>
      </c>
      <c r="N182" s="77"/>
      <c r="O182" s="77"/>
      <c r="P182" s="77"/>
      <c r="Q182" s="77"/>
      <c r="R182" s="274">
        <f t="shared" si="54"/>
        <v>77.165354330708666</v>
      </c>
      <c r="S182" s="163">
        <f t="shared" si="55"/>
        <v>1559.1120000000001</v>
      </c>
      <c r="T182" s="164">
        <f t="shared" si="56"/>
        <v>2945.5079999999998</v>
      </c>
      <c r="U182" s="149">
        <f t="shared" si="57"/>
        <v>10680</v>
      </c>
      <c r="V182" s="165">
        <f t="shared" si="64"/>
        <v>39658</v>
      </c>
      <c r="W182" s="166">
        <f t="shared" si="65"/>
        <v>50338</v>
      </c>
      <c r="X182" s="167">
        <f t="shared" si="66"/>
        <v>79316</v>
      </c>
      <c r="Y182" s="168">
        <f t="shared" si="67"/>
        <v>89996</v>
      </c>
      <c r="Z182" s="169">
        <f t="shared" si="68"/>
        <v>1161.6000000000001</v>
      </c>
      <c r="AA182" s="275">
        <f t="shared" si="69"/>
        <v>11616.000000000002</v>
      </c>
      <c r="AB182" s="109"/>
      <c r="AC182" s="137">
        <f t="shared" si="76"/>
        <v>0</v>
      </c>
      <c r="AD182" s="137">
        <f t="shared" si="78"/>
        <v>0</v>
      </c>
      <c r="AE182" s="137">
        <f t="shared" si="60"/>
        <v>453600</v>
      </c>
      <c r="AF182" s="137">
        <f t="shared" si="61"/>
        <v>453600</v>
      </c>
      <c r="AG182" s="156">
        <f t="shared" si="77"/>
        <v>44100</v>
      </c>
      <c r="AH182" s="479"/>
    </row>
    <row r="183" spans="2:34" ht="15.75" hidden="1" customHeight="1">
      <c r="B183" s="264" t="str">
        <f t="shared" si="75"/>
        <v/>
      </c>
      <c r="C183" s="271"/>
      <c r="D183" s="271"/>
      <c r="E183" s="244" t="str">
        <f t="shared" si="47"/>
        <v/>
      </c>
      <c r="F183" s="260" t="str">
        <f t="shared" si="48"/>
        <v/>
      </c>
      <c r="G183" s="139" t="e">
        <f t="shared" ref="G183:G191" si="79">+IF(B137="","",ROUNDUP(AF183/F183,0))</f>
        <v>#VALUE!</v>
      </c>
      <c r="H183" s="158" t="str">
        <f t="shared" si="70"/>
        <v/>
      </c>
      <c r="I183" s="159" t="str">
        <f t="shared" si="50"/>
        <v/>
      </c>
      <c r="J183" s="160" t="str">
        <f t="shared" si="51"/>
        <v/>
      </c>
      <c r="K183" s="143" t="e">
        <f t="shared" si="52"/>
        <v>#VALUE!</v>
      </c>
      <c r="L183" s="161" t="str">
        <f t="shared" si="53"/>
        <v/>
      </c>
      <c r="M183" s="273" t="str">
        <f t="shared" si="63"/>
        <v/>
      </c>
      <c r="N183" s="77"/>
      <c r="O183" s="77"/>
      <c r="P183" s="77"/>
      <c r="Q183" s="77"/>
      <c r="R183" s="146" t="str">
        <f t="shared" si="54"/>
        <v/>
      </c>
      <c r="S183" s="163" t="str">
        <f t="shared" si="55"/>
        <v/>
      </c>
      <c r="T183" s="164" t="str">
        <f t="shared" si="56"/>
        <v/>
      </c>
      <c r="U183" s="149" t="str">
        <f t="shared" si="57"/>
        <v/>
      </c>
      <c r="V183" s="165" t="e">
        <f t="shared" si="64"/>
        <v>#VALUE!</v>
      </c>
      <c r="W183" s="166" t="str">
        <f t="shared" si="65"/>
        <v/>
      </c>
      <c r="X183" s="167" t="e">
        <f t="shared" si="66"/>
        <v>#VALUE!</v>
      </c>
      <c r="Y183" s="168" t="str">
        <f t="shared" si="67"/>
        <v/>
      </c>
      <c r="Z183" s="169" t="e">
        <f t="shared" si="68"/>
        <v>#VALUE!</v>
      </c>
      <c r="AA183" s="275" t="e">
        <f t="shared" si="69"/>
        <v>#VALUE!</v>
      </c>
      <c r="AB183" s="109"/>
      <c r="AC183" s="137" t="str">
        <f t="shared" si="76"/>
        <v/>
      </c>
      <c r="AD183" s="137">
        <f t="shared" si="78"/>
        <v>0</v>
      </c>
      <c r="AE183" s="137">
        <f t="shared" si="60"/>
        <v>453600</v>
      </c>
      <c r="AF183" s="137">
        <f t="shared" si="61"/>
        <v>453600</v>
      </c>
      <c r="AG183" s="156">
        <f t="shared" si="77"/>
        <v>0</v>
      </c>
      <c r="AH183" s="479"/>
    </row>
    <row r="184" spans="2:34" ht="15.75" hidden="1">
      <c r="B184" s="264" t="str">
        <f t="shared" si="75"/>
        <v/>
      </c>
      <c r="C184" s="272"/>
      <c r="D184" s="272"/>
      <c r="E184" s="244" t="str">
        <f t="shared" si="47"/>
        <v/>
      </c>
      <c r="F184" s="260" t="str">
        <f t="shared" si="48"/>
        <v/>
      </c>
      <c r="G184" s="139" t="e">
        <f t="shared" si="79"/>
        <v>#VALUE!</v>
      </c>
      <c r="H184" s="158" t="str">
        <f t="shared" si="70"/>
        <v/>
      </c>
      <c r="I184" s="159" t="str">
        <f t="shared" si="50"/>
        <v/>
      </c>
      <c r="J184" s="268" t="str">
        <f t="shared" si="51"/>
        <v/>
      </c>
      <c r="K184" s="143" t="e">
        <f t="shared" si="52"/>
        <v>#VALUE!</v>
      </c>
      <c r="L184" s="161" t="str">
        <f t="shared" si="53"/>
        <v/>
      </c>
      <c r="M184" s="162" t="str">
        <f t="shared" si="63"/>
        <v/>
      </c>
      <c r="N184" s="77"/>
      <c r="O184" s="77"/>
      <c r="P184" s="77"/>
      <c r="Q184" s="77"/>
      <c r="R184" s="146" t="str">
        <f t="shared" si="54"/>
        <v/>
      </c>
      <c r="S184" s="163" t="str">
        <f t="shared" si="55"/>
        <v/>
      </c>
      <c r="T184" s="164" t="str">
        <f t="shared" si="56"/>
        <v/>
      </c>
      <c r="U184" s="149" t="str">
        <f t="shared" si="57"/>
        <v/>
      </c>
      <c r="V184" s="165" t="e">
        <f t="shared" si="64"/>
        <v>#VALUE!</v>
      </c>
      <c r="W184" s="166" t="str">
        <f t="shared" si="65"/>
        <v/>
      </c>
      <c r="X184" s="167" t="e">
        <f t="shared" si="66"/>
        <v>#VALUE!</v>
      </c>
      <c r="Y184" s="168" t="str">
        <f t="shared" si="67"/>
        <v/>
      </c>
      <c r="Z184" s="169" t="e">
        <f t="shared" si="68"/>
        <v>#VALUE!</v>
      </c>
      <c r="AA184" s="170" t="e">
        <f t="shared" si="69"/>
        <v>#VALUE!</v>
      </c>
      <c r="AB184" s="109"/>
      <c r="AC184" s="137" t="str">
        <f t="shared" si="76"/>
        <v/>
      </c>
      <c r="AD184" s="137">
        <f t="shared" si="78"/>
        <v>0</v>
      </c>
      <c r="AE184" s="137">
        <f t="shared" si="60"/>
        <v>453600</v>
      </c>
      <c r="AF184" s="137">
        <f t="shared" si="61"/>
        <v>453600</v>
      </c>
      <c r="AG184" s="156">
        <f t="shared" si="77"/>
        <v>0</v>
      </c>
      <c r="AH184" s="479"/>
    </row>
    <row r="185" spans="2:34" ht="15.75" hidden="1">
      <c r="B185" s="264" t="str">
        <f t="shared" si="75"/>
        <v/>
      </c>
      <c r="C185" s="272"/>
      <c r="D185" s="272"/>
      <c r="E185" s="244" t="str">
        <f t="shared" si="47"/>
        <v/>
      </c>
      <c r="F185" s="157" t="str">
        <f t="shared" ref="F185:F191" si="80">IF(E185="","",IF($H$9&gt;3.65,H139,IF($H$9&gt;=3,G139, IF($H$9&gt;=2.25,F139,IF($H$9&gt;=1.5,E139,E139)))))</f>
        <v/>
      </c>
      <c r="G185" s="139" t="str">
        <f t="shared" si="79"/>
        <v/>
      </c>
      <c r="H185" s="158" t="str">
        <f t="shared" si="70"/>
        <v/>
      </c>
      <c r="I185" s="159" t="str">
        <f t="shared" ref="I185:I191" si="81">+IF(F185="","",IF(H185&gt;0,ROUND(F185*H185,-2),ROUND(F185*G185,-2)))</f>
        <v/>
      </c>
      <c r="J185" s="160" t="str">
        <f t="shared" ref="J185:J191" si="82">+IF(I139="","",IF(H185&gt;0,ROUND((H185*(($F139)/(($I139)))/1000),1),ROUND((G185*(($F139)/(($I139)))/1000),1)))</f>
        <v/>
      </c>
      <c r="K185" s="143" t="str">
        <f t="shared" ref="K185:K191" si="83">+IF(I139="","",IF(H185&gt;0,ROUND((H185*(($F139)/(($I139)))/1000*$H$8*$H$6),-1),ROUND((G185*(($F139)/(($I139)))/1000*$H$8*$H$6),-1)))</f>
        <v/>
      </c>
      <c r="L185" s="161" t="str">
        <f t="shared" si="53"/>
        <v/>
      </c>
      <c r="M185" s="162" t="str">
        <f t="shared" si="63"/>
        <v/>
      </c>
      <c r="N185" s="77"/>
      <c r="O185" s="77"/>
      <c r="P185" s="77"/>
      <c r="Q185" s="77"/>
      <c r="R185" s="146" t="str">
        <f t="shared" si="54"/>
        <v/>
      </c>
      <c r="S185" s="163" t="str">
        <f t="shared" si="55"/>
        <v/>
      </c>
      <c r="T185" s="164" t="str">
        <f t="shared" si="56"/>
        <v/>
      </c>
      <c r="U185" s="149" t="str">
        <f t="shared" ref="U185:U191" si="84">IF(J139="","",IF(H185&gt;0,J139*H185,J139*G185))</f>
        <v/>
      </c>
      <c r="V185" s="165" t="str">
        <f t="shared" ref="V185:V191" si="85">+IF(K185="","",K185*5)</f>
        <v/>
      </c>
      <c r="W185" s="166" t="str">
        <f t="shared" ref="W185:W191" si="86">IF(U185="","",+U185+V185)</f>
        <v/>
      </c>
      <c r="X185" s="167" t="str">
        <f t="shared" ref="X185:X191" si="87">+IF(V185="","",V185*2)</f>
        <v/>
      </c>
      <c r="Y185" s="168" t="str">
        <f t="shared" ref="Y185:Y191" si="88">+IF(U185="","",X185+U185)</f>
        <v/>
      </c>
      <c r="Z185" s="169" t="e">
        <f t="shared" si="68"/>
        <v>#VALUE!</v>
      </c>
      <c r="AA185" s="170" t="e">
        <f t="shared" si="69"/>
        <v>#VALUE!</v>
      </c>
      <c r="AB185" s="109"/>
      <c r="AC185" s="137" t="str">
        <f t="shared" ref="AC185:AC191" si="89">+IF(I139="","",IF(I139&gt;=37.38,4,IF(I139&gt;=35.68,3,IF(I139&gt;=33.98,2,IF(I139&gt;=32.28,1,0)))))</f>
        <v/>
      </c>
      <c r="AD185" s="137" t="str">
        <f t="shared" si="78"/>
        <v/>
      </c>
      <c r="AE185" s="137">
        <f t="shared" si="60"/>
        <v>453600</v>
      </c>
      <c r="AF185" s="137">
        <f t="shared" si="61"/>
        <v>453600</v>
      </c>
      <c r="AG185" s="156">
        <f t="shared" si="77"/>
        <v>0</v>
      </c>
      <c r="AH185" s="479"/>
    </row>
    <row r="186" spans="2:34" ht="15.75" hidden="1">
      <c r="B186" s="264" t="str">
        <f t="shared" si="75"/>
        <v/>
      </c>
      <c r="C186" s="272"/>
      <c r="D186" s="272"/>
      <c r="E186" s="244" t="str">
        <f t="shared" si="47"/>
        <v/>
      </c>
      <c r="F186" s="157" t="str">
        <f t="shared" si="80"/>
        <v/>
      </c>
      <c r="G186" s="139" t="str">
        <f t="shared" si="79"/>
        <v/>
      </c>
      <c r="H186" s="158">
        <v>0</v>
      </c>
      <c r="I186" s="159" t="str">
        <f t="shared" si="81"/>
        <v/>
      </c>
      <c r="J186" s="160" t="str">
        <f t="shared" si="82"/>
        <v/>
      </c>
      <c r="K186" s="143" t="str">
        <f t="shared" si="83"/>
        <v/>
      </c>
      <c r="L186" s="161" t="str">
        <f t="shared" si="53"/>
        <v/>
      </c>
      <c r="M186" s="162" t="str">
        <f t="shared" si="63"/>
        <v/>
      </c>
      <c r="N186" s="77"/>
      <c r="O186" s="77"/>
      <c r="P186" s="77"/>
      <c r="Q186" s="77"/>
      <c r="R186" s="146" t="str">
        <f t="shared" si="54"/>
        <v/>
      </c>
      <c r="S186" s="163" t="str">
        <f t="shared" si="55"/>
        <v/>
      </c>
      <c r="T186" s="164" t="str">
        <f t="shared" si="56"/>
        <v/>
      </c>
      <c r="U186" s="149" t="str">
        <f t="shared" si="84"/>
        <v/>
      </c>
      <c r="V186" s="165" t="str">
        <f t="shared" si="85"/>
        <v/>
      </c>
      <c r="W186" s="166" t="str">
        <f t="shared" si="86"/>
        <v/>
      </c>
      <c r="X186" s="167" t="str">
        <f t="shared" si="87"/>
        <v/>
      </c>
      <c r="Y186" s="168" t="str">
        <f t="shared" si="88"/>
        <v/>
      </c>
      <c r="Z186" s="169" t="e">
        <f t="shared" si="68"/>
        <v>#VALUE!</v>
      </c>
      <c r="AA186" s="170" t="e">
        <f t="shared" si="69"/>
        <v>#VALUE!</v>
      </c>
      <c r="AB186" s="109"/>
      <c r="AC186" s="137" t="str">
        <f t="shared" si="89"/>
        <v/>
      </c>
      <c r="AD186" s="137" t="str">
        <f t="shared" si="78"/>
        <v/>
      </c>
      <c r="AE186" s="137">
        <f t="shared" si="60"/>
        <v>453600</v>
      </c>
      <c r="AF186" s="137">
        <f t="shared" si="61"/>
        <v>453600</v>
      </c>
      <c r="AG186" s="156">
        <f t="shared" si="77"/>
        <v>0</v>
      </c>
      <c r="AH186" s="479"/>
    </row>
    <row r="187" spans="2:34" ht="15.75" hidden="1">
      <c r="B187" s="264" t="str">
        <f t="shared" si="75"/>
        <v/>
      </c>
      <c r="C187" s="272"/>
      <c r="D187" s="272"/>
      <c r="E187" s="244" t="str">
        <f t="shared" si="47"/>
        <v/>
      </c>
      <c r="F187" s="157" t="str">
        <f t="shared" si="80"/>
        <v/>
      </c>
      <c r="G187" s="139" t="str">
        <f t="shared" si="79"/>
        <v/>
      </c>
      <c r="H187" s="158">
        <v>0</v>
      </c>
      <c r="I187" s="159" t="str">
        <f t="shared" si="81"/>
        <v/>
      </c>
      <c r="J187" s="160" t="str">
        <f t="shared" si="82"/>
        <v/>
      </c>
      <c r="K187" s="143" t="str">
        <f t="shared" si="83"/>
        <v/>
      </c>
      <c r="L187" s="161" t="str">
        <f t="shared" si="53"/>
        <v/>
      </c>
      <c r="M187" s="162" t="str">
        <f t="shared" si="63"/>
        <v/>
      </c>
      <c r="N187" s="77"/>
      <c r="O187" s="77"/>
      <c r="P187" s="77"/>
      <c r="Q187" s="77"/>
      <c r="R187" s="146" t="str">
        <f t="shared" si="54"/>
        <v/>
      </c>
      <c r="S187" s="163" t="str">
        <f t="shared" si="55"/>
        <v/>
      </c>
      <c r="T187" s="164" t="str">
        <f t="shared" si="56"/>
        <v/>
      </c>
      <c r="U187" s="149" t="str">
        <f t="shared" si="84"/>
        <v/>
      </c>
      <c r="V187" s="165" t="str">
        <f t="shared" si="85"/>
        <v/>
      </c>
      <c r="W187" s="166" t="str">
        <f t="shared" si="86"/>
        <v/>
      </c>
      <c r="X187" s="167" t="str">
        <f t="shared" si="87"/>
        <v/>
      </c>
      <c r="Y187" s="168" t="str">
        <f t="shared" si="88"/>
        <v/>
      </c>
      <c r="Z187" s="169" t="e">
        <f t="shared" si="68"/>
        <v>#VALUE!</v>
      </c>
      <c r="AA187" s="170" t="e">
        <f t="shared" si="69"/>
        <v>#VALUE!</v>
      </c>
      <c r="AB187" s="109"/>
      <c r="AC187" s="137" t="str">
        <f t="shared" si="89"/>
        <v/>
      </c>
      <c r="AD187" s="137" t="str">
        <f t="shared" si="78"/>
        <v/>
      </c>
      <c r="AE187" s="137">
        <f t="shared" si="60"/>
        <v>453600</v>
      </c>
      <c r="AF187" s="137">
        <f t="shared" si="61"/>
        <v>453600</v>
      </c>
      <c r="AG187" s="156">
        <f t="shared" si="77"/>
        <v>0</v>
      </c>
      <c r="AH187" s="479"/>
    </row>
    <row r="188" spans="2:34" ht="15.75" hidden="1">
      <c r="B188" s="264" t="str">
        <f t="shared" si="75"/>
        <v/>
      </c>
      <c r="C188" s="259"/>
      <c r="D188" s="259"/>
      <c r="E188" s="245" t="str">
        <f t="shared" si="47"/>
        <v/>
      </c>
      <c r="F188" s="171" t="str">
        <f t="shared" si="80"/>
        <v/>
      </c>
      <c r="G188" s="172" t="str">
        <f t="shared" si="79"/>
        <v/>
      </c>
      <c r="H188" s="158">
        <v>0</v>
      </c>
      <c r="I188" s="173" t="str">
        <f t="shared" si="81"/>
        <v/>
      </c>
      <c r="J188" s="160" t="str">
        <f t="shared" si="82"/>
        <v/>
      </c>
      <c r="K188" s="174" t="str">
        <f t="shared" si="83"/>
        <v/>
      </c>
      <c r="L188" s="175" t="str">
        <f t="shared" si="53"/>
        <v/>
      </c>
      <c r="M188" s="176" t="str">
        <f t="shared" si="63"/>
        <v/>
      </c>
      <c r="N188" s="77"/>
      <c r="O188" s="77"/>
      <c r="P188" s="77"/>
      <c r="Q188" s="77"/>
      <c r="R188" s="177" t="str">
        <f t="shared" si="54"/>
        <v/>
      </c>
      <c r="S188" s="178" t="str">
        <f t="shared" si="55"/>
        <v/>
      </c>
      <c r="T188" s="179" t="str">
        <f t="shared" si="56"/>
        <v/>
      </c>
      <c r="U188" s="180" t="str">
        <f t="shared" si="84"/>
        <v/>
      </c>
      <c r="V188" s="181" t="str">
        <f t="shared" si="85"/>
        <v/>
      </c>
      <c r="W188" s="182" t="str">
        <f t="shared" si="86"/>
        <v/>
      </c>
      <c r="X188" s="183" t="str">
        <f t="shared" si="87"/>
        <v/>
      </c>
      <c r="Y188" s="184" t="str">
        <f t="shared" si="88"/>
        <v/>
      </c>
      <c r="Z188" s="169" t="e">
        <f t="shared" si="68"/>
        <v>#VALUE!</v>
      </c>
      <c r="AA188" s="170" t="e">
        <f t="shared" si="69"/>
        <v>#VALUE!</v>
      </c>
      <c r="AB188" s="109"/>
      <c r="AC188" s="137" t="str">
        <f t="shared" si="89"/>
        <v/>
      </c>
      <c r="AD188" s="137" t="str">
        <f t="shared" si="78"/>
        <v/>
      </c>
      <c r="AE188" s="137">
        <f t="shared" si="60"/>
        <v>453600</v>
      </c>
      <c r="AF188" s="137">
        <f t="shared" si="61"/>
        <v>453600</v>
      </c>
      <c r="AG188" s="156">
        <f t="shared" si="77"/>
        <v>0</v>
      </c>
      <c r="AH188" s="479"/>
    </row>
    <row r="189" spans="2:34" ht="15.75" hidden="1">
      <c r="B189" s="264" t="str">
        <f>IF(B99="","",B99)</f>
        <v/>
      </c>
      <c r="C189" s="259"/>
      <c r="D189" s="259"/>
      <c r="E189" s="245" t="str">
        <f t="shared" si="47"/>
        <v/>
      </c>
      <c r="F189" s="171" t="str">
        <f t="shared" si="80"/>
        <v/>
      </c>
      <c r="G189" s="172" t="str">
        <f t="shared" si="79"/>
        <v/>
      </c>
      <c r="H189" s="158">
        <v>0</v>
      </c>
      <c r="I189" s="173" t="str">
        <f t="shared" si="81"/>
        <v/>
      </c>
      <c r="J189" s="160" t="str">
        <f t="shared" si="82"/>
        <v/>
      </c>
      <c r="K189" s="174" t="str">
        <f t="shared" si="83"/>
        <v/>
      </c>
      <c r="L189" s="175" t="str">
        <f t="shared" si="53"/>
        <v/>
      </c>
      <c r="M189" s="176" t="str">
        <f t="shared" si="63"/>
        <v/>
      </c>
      <c r="N189" s="77"/>
      <c r="O189" s="77"/>
      <c r="P189" s="77"/>
      <c r="Q189" s="77"/>
      <c r="R189" s="177" t="str">
        <f t="shared" si="54"/>
        <v/>
      </c>
      <c r="S189" s="178" t="str">
        <f t="shared" si="55"/>
        <v/>
      </c>
      <c r="T189" s="179" t="str">
        <f t="shared" si="56"/>
        <v/>
      </c>
      <c r="U189" s="180" t="str">
        <f t="shared" si="84"/>
        <v/>
      </c>
      <c r="V189" s="181" t="str">
        <f t="shared" si="85"/>
        <v/>
      </c>
      <c r="W189" s="182" t="str">
        <f t="shared" si="86"/>
        <v/>
      </c>
      <c r="X189" s="183" t="str">
        <f t="shared" si="87"/>
        <v/>
      </c>
      <c r="Y189" s="184" t="str">
        <f t="shared" si="88"/>
        <v/>
      </c>
      <c r="Z189" s="169" t="e">
        <f t="shared" si="68"/>
        <v>#VALUE!</v>
      </c>
      <c r="AA189" s="170" t="e">
        <f t="shared" si="69"/>
        <v>#VALUE!</v>
      </c>
      <c r="AB189" s="109"/>
      <c r="AC189" s="137" t="str">
        <f t="shared" si="89"/>
        <v/>
      </c>
      <c r="AD189" s="137" t="str">
        <f t="shared" si="78"/>
        <v/>
      </c>
      <c r="AE189" s="137">
        <f t="shared" si="60"/>
        <v>453600</v>
      </c>
      <c r="AF189" s="137">
        <f t="shared" si="61"/>
        <v>453600</v>
      </c>
      <c r="AG189" s="156">
        <f t="shared" si="77"/>
        <v>0</v>
      </c>
      <c r="AH189" s="479"/>
    </row>
    <row r="190" spans="2:34" ht="15.75" hidden="1">
      <c r="B190" s="264" t="str">
        <f t="shared" si="75"/>
        <v/>
      </c>
      <c r="C190" s="259"/>
      <c r="D190" s="259"/>
      <c r="E190" s="245" t="str">
        <f t="shared" si="47"/>
        <v/>
      </c>
      <c r="F190" s="171" t="str">
        <f t="shared" si="80"/>
        <v/>
      </c>
      <c r="G190" s="172" t="str">
        <f t="shared" si="79"/>
        <v/>
      </c>
      <c r="H190" s="158">
        <v>0</v>
      </c>
      <c r="I190" s="173" t="str">
        <f t="shared" si="81"/>
        <v/>
      </c>
      <c r="J190" s="160" t="str">
        <f t="shared" si="82"/>
        <v/>
      </c>
      <c r="K190" s="174" t="str">
        <f t="shared" si="83"/>
        <v/>
      </c>
      <c r="L190" s="175" t="str">
        <f t="shared" si="53"/>
        <v/>
      </c>
      <c r="M190" s="176" t="str">
        <f t="shared" si="63"/>
        <v/>
      </c>
      <c r="N190" s="77"/>
      <c r="O190" s="77"/>
      <c r="P190" s="77"/>
      <c r="Q190" s="77"/>
      <c r="R190" s="177" t="str">
        <f t="shared" si="54"/>
        <v/>
      </c>
      <c r="S190" s="178" t="str">
        <f t="shared" si="55"/>
        <v/>
      </c>
      <c r="T190" s="179" t="str">
        <f t="shared" si="56"/>
        <v/>
      </c>
      <c r="U190" s="180" t="str">
        <f t="shared" si="84"/>
        <v/>
      </c>
      <c r="V190" s="181" t="str">
        <f t="shared" si="85"/>
        <v/>
      </c>
      <c r="W190" s="182" t="str">
        <f t="shared" si="86"/>
        <v/>
      </c>
      <c r="X190" s="183" t="str">
        <f t="shared" si="87"/>
        <v/>
      </c>
      <c r="Y190" s="184" t="str">
        <f t="shared" si="88"/>
        <v/>
      </c>
      <c r="Z190" s="169" t="e">
        <f t="shared" si="68"/>
        <v>#VALUE!</v>
      </c>
      <c r="AA190" s="170" t="e">
        <f t="shared" si="69"/>
        <v>#VALUE!</v>
      </c>
      <c r="AB190" s="109"/>
      <c r="AC190" s="137" t="str">
        <f t="shared" si="89"/>
        <v/>
      </c>
      <c r="AD190" s="137" t="str">
        <f t="shared" si="78"/>
        <v/>
      </c>
      <c r="AE190" s="137">
        <f t="shared" si="60"/>
        <v>453600</v>
      </c>
      <c r="AF190" s="137">
        <f t="shared" si="61"/>
        <v>453600</v>
      </c>
      <c r="AG190" s="156">
        <f t="shared" si="77"/>
        <v>0</v>
      </c>
      <c r="AH190" s="479"/>
    </row>
    <row r="191" spans="2:34" ht="16.5" hidden="1" thickBot="1">
      <c r="B191" s="265" t="str">
        <f t="shared" si="75"/>
        <v/>
      </c>
      <c r="C191" s="266"/>
      <c r="D191" s="267"/>
      <c r="E191" s="246" t="str">
        <f t="shared" si="47"/>
        <v/>
      </c>
      <c r="F191" s="185" t="str">
        <f t="shared" si="80"/>
        <v/>
      </c>
      <c r="G191" s="186" t="str">
        <f t="shared" si="79"/>
        <v/>
      </c>
      <c r="H191" s="158">
        <v>0</v>
      </c>
      <c r="I191" s="187" t="str">
        <f t="shared" si="81"/>
        <v/>
      </c>
      <c r="J191" s="188" t="str">
        <f t="shared" si="82"/>
        <v/>
      </c>
      <c r="K191" s="189" t="str">
        <f t="shared" si="83"/>
        <v/>
      </c>
      <c r="L191" s="190" t="str">
        <f t="shared" si="53"/>
        <v/>
      </c>
      <c r="M191" s="191" t="str">
        <f t="shared" si="63"/>
        <v/>
      </c>
      <c r="N191" s="77"/>
      <c r="O191" s="77"/>
      <c r="P191" s="77"/>
      <c r="Q191" s="77"/>
      <c r="R191" s="192" t="str">
        <f t="shared" si="54"/>
        <v/>
      </c>
      <c r="S191" s="193" t="str">
        <f t="shared" si="55"/>
        <v/>
      </c>
      <c r="T191" s="194" t="str">
        <f t="shared" si="56"/>
        <v/>
      </c>
      <c r="U191" s="195" t="str">
        <f t="shared" si="84"/>
        <v/>
      </c>
      <c r="V191" s="196" t="str">
        <f t="shared" si="85"/>
        <v/>
      </c>
      <c r="W191" s="197" t="str">
        <f t="shared" si="86"/>
        <v/>
      </c>
      <c r="X191" s="198" t="str">
        <f t="shared" si="87"/>
        <v/>
      </c>
      <c r="Y191" s="199" t="str">
        <f t="shared" si="88"/>
        <v/>
      </c>
      <c r="Z191" s="200" t="e">
        <f t="shared" si="68"/>
        <v>#VALUE!</v>
      </c>
      <c r="AA191" s="201" t="e">
        <f t="shared" si="69"/>
        <v>#VALUE!</v>
      </c>
      <c r="AB191" s="109"/>
      <c r="AC191" s="137" t="str">
        <f t="shared" si="89"/>
        <v/>
      </c>
      <c r="AD191" s="137" t="str">
        <f t="shared" si="78"/>
        <v/>
      </c>
      <c r="AE191" s="137">
        <f t="shared" si="60"/>
        <v>453600</v>
      </c>
      <c r="AF191" s="137">
        <f t="shared" si="61"/>
        <v>453600</v>
      </c>
      <c r="AG191" s="156">
        <f t="shared" si="77"/>
        <v>0</v>
      </c>
      <c r="AH191" s="479"/>
    </row>
    <row r="192" spans="2:34" ht="15.75" hidden="1">
      <c r="B192" s="237"/>
      <c r="C192" s="237"/>
      <c r="D192" s="237"/>
      <c r="E192" s="222"/>
      <c r="F192" s="223"/>
      <c r="G192" s="205"/>
      <c r="H192" s="206"/>
      <c r="I192" s="207"/>
      <c r="J192" s="230"/>
      <c r="K192" s="208"/>
      <c r="L192" s="209"/>
      <c r="M192" s="210"/>
      <c r="N192" s="231"/>
      <c r="O192" s="232"/>
      <c r="P192" s="233"/>
      <c r="Q192" s="232"/>
      <c r="R192" s="226"/>
      <c r="S192" s="212"/>
      <c r="T192" s="212"/>
      <c r="U192" s="227"/>
      <c r="V192" s="228"/>
      <c r="W192" s="217"/>
      <c r="X192" s="234"/>
      <c r="Y192" s="217"/>
      <c r="Z192" s="235"/>
      <c r="AA192" s="236"/>
      <c r="AB192" s="114"/>
      <c r="AC192" s="137"/>
      <c r="AD192" s="137"/>
      <c r="AE192" s="137"/>
      <c r="AF192" s="137"/>
      <c r="AG192" s="156"/>
      <c r="AH192" s="479"/>
    </row>
    <row r="193" spans="2:33" ht="15.75" hidden="1">
      <c r="B193" s="237"/>
      <c r="C193" s="237"/>
      <c r="D193" s="237"/>
      <c r="E193" s="222"/>
      <c r="F193" s="223"/>
      <c r="G193" s="205"/>
      <c r="H193" s="206"/>
      <c r="I193" s="207"/>
      <c r="J193" s="230"/>
      <c r="K193" s="208"/>
      <c r="L193" s="209"/>
      <c r="M193" s="210"/>
      <c r="N193" s="231"/>
      <c r="O193" s="232"/>
      <c r="P193" s="233"/>
      <c r="Q193" s="232"/>
      <c r="R193" s="226"/>
      <c r="S193" s="212"/>
      <c r="T193" s="212"/>
      <c r="U193" s="227"/>
      <c r="V193" s="228"/>
      <c r="W193" s="217"/>
      <c r="X193" s="234"/>
      <c r="Y193" s="217"/>
      <c r="Z193" s="235"/>
      <c r="AA193" s="236"/>
      <c r="AB193" s="229"/>
      <c r="AC193" s="137"/>
      <c r="AD193" s="137"/>
      <c r="AE193" s="137"/>
      <c r="AF193" s="137"/>
      <c r="AG193" s="156"/>
    </row>
    <row r="194" spans="2:33" ht="15.75">
      <c r="B194" s="237"/>
      <c r="C194" s="237"/>
      <c r="D194" s="237"/>
      <c r="E194" s="222"/>
      <c r="F194" s="223"/>
      <c r="G194" s="205"/>
      <c r="H194" s="206"/>
      <c r="I194" s="207"/>
      <c r="J194" s="230"/>
      <c r="K194" s="208"/>
      <c r="L194" s="209"/>
      <c r="M194" s="210"/>
      <c r="N194" s="231"/>
      <c r="O194" s="232"/>
      <c r="P194" s="233"/>
      <c r="Q194" s="232"/>
      <c r="R194" s="226"/>
      <c r="S194" s="212"/>
      <c r="T194" s="212"/>
      <c r="U194" s="227"/>
      <c r="V194" s="228"/>
      <c r="W194" s="217"/>
      <c r="X194" s="234"/>
      <c r="Y194" s="217"/>
      <c r="Z194" s="235"/>
      <c r="AA194" s="236"/>
      <c r="AB194" s="229"/>
      <c r="AC194" s="137"/>
      <c r="AD194" s="137"/>
      <c r="AE194" s="137"/>
      <c r="AF194" s="137"/>
      <c r="AG194" s="156"/>
    </row>
    <row r="195" spans="2:33" ht="15.75">
      <c r="B195" s="237"/>
      <c r="C195" s="237"/>
      <c r="D195" s="237"/>
      <c r="E195" s="222"/>
      <c r="F195" s="223"/>
      <c r="G195" s="205"/>
      <c r="H195" s="206"/>
      <c r="I195" s="207"/>
      <c r="J195" s="230"/>
      <c r="K195" s="208"/>
      <c r="L195" s="209"/>
      <c r="M195" s="210"/>
      <c r="N195" s="231"/>
      <c r="O195" s="232"/>
      <c r="P195" s="233"/>
      <c r="Q195" s="232"/>
      <c r="R195" s="226"/>
      <c r="S195" s="212"/>
      <c r="T195" s="212"/>
      <c r="U195" s="227"/>
      <c r="V195" s="228"/>
      <c r="W195" s="217"/>
      <c r="X195" s="234"/>
      <c r="Y195" s="217"/>
      <c r="Z195" s="235"/>
      <c r="AA195" s="236"/>
      <c r="AB195" s="229"/>
      <c r="AC195" s="137"/>
      <c r="AD195" s="137"/>
      <c r="AE195" s="137"/>
      <c r="AF195" s="137"/>
      <c r="AG195" s="156"/>
    </row>
    <row r="196" spans="2:33" ht="15.75">
      <c r="B196" s="237"/>
      <c r="C196" s="237"/>
      <c r="D196" s="237"/>
      <c r="E196" s="222"/>
      <c r="F196" s="223"/>
      <c r="G196" s="205"/>
      <c r="H196" s="206"/>
      <c r="I196" s="207"/>
      <c r="J196" s="230"/>
      <c r="K196" s="208"/>
      <c r="L196" s="209"/>
      <c r="M196" s="210"/>
      <c r="N196" s="231"/>
      <c r="O196" s="232"/>
      <c r="P196" s="233"/>
      <c r="Q196" s="232"/>
      <c r="R196" s="226"/>
      <c r="S196" s="212"/>
      <c r="T196" s="212"/>
      <c r="U196" s="227"/>
      <c r="V196" s="228"/>
      <c r="W196" s="217"/>
      <c r="X196" s="234"/>
      <c r="Y196" s="217"/>
      <c r="Z196" s="235"/>
      <c r="AA196" s="236"/>
      <c r="AB196" s="229"/>
      <c r="AC196" s="137"/>
      <c r="AD196" s="137"/>
      <c r="AE196" s="137"/>
      <c r="AF196" s="137"/>
      <c r="AG196" s="156"/>
    </row>
    <row r="197" spans="2:33" ht="15.75">
      <c r="B197" s="202"/>
      <c r="C197" s="202"/>
      <c r="D197" s="202"/>
      <c r="E197" s="222"/>
      <c r="F197" s="223"/>
      <c r="G197" s="205"/>
      <c r="H197" s="206"/>
      <c r="I197" s="207"/>
      <c r="J197" s="208"/>
      <c r="K197" s="209"/>
      <c r="L197" s="210"/>
      <c r="M197" s="224"/>
      <c r="N197" s="210"/>
      <c r="O197" s="225"/>
      <c r="P197" s="210"/>
      <c r="Q197" s="226"/>
      <c r="R197" s="212"/>
      <c r="S197" s="212"/>
      <c r="T197" s="227"/>
      <c r="U197" s="228"/>
      <c r="V197" s="217"/>
      <c r="W197" s="227"/>
      <c r="X197" s="227"/>
      <c r="Y197" s="217"/>
      <c r="Z197" s="217"/>
      <c r="AA197" s="229"/>
      <c r="AB197" s="229"/>
      <c r="AC197" s="137"/>
      <c r="AD197" s="137"/>
      <c r="AE197" s="137"/>
      <c r="AF197" s="156"/>
      <c r="AG197" s="114"/>
    </row>
    <row r="198" spans="2:3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c r="AA198" s="83"/>
      <c r="AB198" s="83"/>
      <c r="AC198" s="80"/>
      <c r="AD198" s="80"/>
      <c r="AE198" s="80"/>
      <c r="AF198" s="80"/>
      <c r="AG198" s="80"/>
    </row>
  </sheetData>
  <sheetProtection sheet="1" selectLockedCells="1"/>
  <mergeCells count="129">
    <mergeCell ref="Z151:AA151"/>
    <mergeCell ref="X107:Y107"/>
    <mergeCell ref="V107:W107"/>
    <mergeCell ref="Z107:AA107"/>
    <mergeCell ref="V151:W151"/>
    <mergeCell ref="X151:Y151"/>
    <mergeCell ref="K98:M98"/>
    <mergeCell ref="B139:D139"/>
    <mergeCell ref="B105:C105"/>
    <mergeCell ref="K101:M101"/>
    <mergeCell ref="K99:M99"/>
    <mergeCell ref="K94:M94"/>
    <mergeCell ref="B100:D100"/>
    <mergeCell ref="B99:D99"/>
    <mergeCell ref="B98:D98"/>
    <mergeCell ref="B101:D101"/>
    <mergeCell ref="U105:Y106"/>
    <mergeCell ref="R105:T106"/>
    <mergeCell ref="B97:D97"/>
    <mergeCell ref="K92:M92"/>
    <mergeCell ref="B86:D86"/>
    <mergeCell ref="K100:M100"/>
    <mergeCell ref="B95:D95"/>
    <mergeCell ref="B96:D96"/>
    <mergeCell ref="K86:M86"/>
    <mergeCell ref="K89:M89"/>
    <mergeCell ref="K87:M87"/>
    <mergeCell ref="K91:M91"/>
    <mergeCell ref="K93:M93"/>
    <mergeCell ref="K90:M90"/>
    <mergeCell ref="K96:M96"/>
    <mergeCell ref="B90:D90"/>
    <mergeCell ref="B91:D91"/>
    <mergeCell ref="K95:M95"/>
    <mergeCell ref="B94:D94"/>
    <mergeCell ref="B89:D89"/>
    <mergeCell ref="B93:D93"/>
    <mergeCell ref="B92:D92"/>
    <mergeCell ref="K97:M97"/>
    <mergeCell ref="K85:M85"/>
    <mergeCell ref="K69:M69"/>
    <mergeCell ref="K70:M70"/>
    <mergeCell ref="B84:D84"/>
    <mergeCell ref="B83:D83"/>
    <mergeCell ref="B78:D78"/>
    <mergeCell ref="B74:D74"/>
    <mergeCell ref="B70:D70"/>
    <mergeCell ref="K83:M83"/>
    <mergeCell ref="K84:M84"/>
    <mergeCell ref="B69:D69"/>
    <mergeCell ref="K79:M79"/>
    <mergeCell ref="B73:D73"/>
    <mergeCell ref="B75:D75"/>
    <mergeCell ref="B76:D76"/>
    <mergeCell ref="K80:M80"/>
    <mergeCell ref="K81:M81"/>
    <mergeCell ref="K82:M82"/>
    <mergeCell ref="O9:P10"/>
    <mergeCell ref="B38:D38"/>
    <mergeCell ref="O11:P11"/>
    <mergeCell ref="B22:D22"/>
    <mergeCell ref="B36:D36"/>
    <mergeCell ref="B37:D37"/>
    <mergeCell ref="J27:K27"/>
    <mergeCell ref="K71:M71"/>
    <mergeCell ref="K67:M67"/>
    <mergeCell ref="B35:D35"/>
    <mergeCell ref="B14:D14"/>
    <mergeCell ref="B15:D16"/>
    <mergeCell ref="B21:D21"/>
    <mergeCell ref="B32:D32"/>
    <mergeCell ref="B31:D31"/>
    <mergeCell ref="K63:M63"/>
    <mergeCell ref="E61:H61"/>
    <mergeCell ref="B39:D39"/>
    <mergeCell ref="B25:D25"/>
    <mergeCell ref="K61:M61"/>
    <mergeCell ref="K64:M64"/>
    <mergeCell ref="K65:M65"/>
    <mergeCell ref="K68:M68"/>
    <mergeCell ref="K66:M66"/>
    <mergeCell ref="D3:I3"/>
    <mergeCell ref="B20:D20"/>
    <mergeCell ref="B24:D24"/>
    <mergeCell ref="B13:E13"/>
    <mergeCell ref="E4:J4"/>
    <mergeCell ref="J15:K15"/>
    <mergeCell ref="B19:D19"/>
    <mergeCell ref="B52:D52"/>
    <mergeCell ref="B59:E59"/>
    <mergeCell ref="B47:D47"/>
    <mergeCell ref="B49:D49"/>
    <mergeCell ref="B33:D33"/>
    <mergeCell ref="B23:D23"/>
    <mergeCell ref="B34:D34"/>
    <mergeCell ref="B43:D43"/>
    <mergeCell ref="B46:D46"/>
    <mergeCell ref="B53:D53"/>
    <mergeCell ref="B45:D45"/>
    <mergeCell ref="B44:D44"/>
    <mergeCell ref="B51:D51"/>
    <mergeCell ref="B40:D40"/>
    <mergeCell ref="B41:D41"/>
    <mergeCell ref="B5:D5"/>
    <mergeCell ref="E26:K26"/>
    <mergeCell ref="K74:M74"/>
    <mergeCell ref="B80:D80"/>
    <mergeCell ref="B81:D81"/>
    <mergeCell ref="B88:D88"/>
    <mergeCell ref="B50:D50"/>
    <mergeCell ref="E45:H45"/>
    <mergeCell ref="B27:D28"/>
    <mergeCell ref="B87:D87"/>
    <mergeCell ref="B65:D65"/>
    <mergeCell ref="B68:D68"/>
    <mergeCell ref="B71:D71"/>
    <mergeCell ref="B63:D63"/>
    <mergeCell ref="B85:D85"/>
    <mergeCell ref="B82:D82"/>
    <mergeCell ref="B67:D67"/>
    <mergeCell ref="B66:D66"/>
    <mergeCell ref="B61:D61"/>
    <mergeCell ref="B64:D64"/>
    <mergeCell ref="B77:D77"/>
    <mergeCell ref="B72:D72"/>
    <mergeCell ref="K75:M75"/>
    <mergeCell ref="K72:M72"/>
    <mergeCell ref="K73:M73"/>
    <mergeCell ref="B79:D79"/>
  </mergeCells>
  <phoneticPr fontId="4" type="noConversion"/>
  <conditionalFormatting sqref="K197 K148 L109:L147 L153:L196">
    <cfRule type="cellIs" dxfId="8" priority="13" stopIfTrue="1" operator="greaterThanOrEqual">
      <formula>2.54</formula>
    </cfRule>
    <cfRule type="cellIs" dxfId="7" priority="14" stopIfTrue="1" operator="between">
      <formula>2.286</formula>
      <formula>2.539</formula>
    </cfRule>
    <cfRule type="cellIs" dxfId="6" priority="15" stopIfTrue="1" operator="between">
      <formula>2.032</formula>
      <formula>2.285</formula>
    </cfRule>
  </conditionalFormatting>
  <conditionalFormatting sqref="H197 H148 H153:H157 H109:H113">
    <cfRule type="cellIs" dxfId="5" priority="81" stopIfTrue="1" operator="notEqual">
      <formula>0</formula>
    </cfRule>
  </conditionalFormatting>
  <conditionalFormatting sqref="H114:H147 H158:H196">
    <cfRule type="cellIs" dxfId="4" priority="143" stopIfTrue="1" operator="greaterThan">
      <formula>0</formula>
    </cfRule>
  </conditionalFormatting>
  <conditionalFormatting sqref="R104 Q103 Q66:Q87">
    <cfRule type="expression" dxfId="3" priority="1" stopIfTrue="1">
      <formula>"$h15=2 and $i15=2"</formula>
    </cfRule>
  </conditionalFormatting>
  <conditionalFormatting sqref="G25">
    <cfRule type="cellIs" dxfId="2" priority="183" stopIfTrue="1" operator="lessThan">
      <formula>3</formula>
    </cfRule>
  </conditionalFormatting>
  <conditionalFormatting sqref="L31:L41">
    <cfRule type="cellIs" dxfId="1" priority="191" stopIfTrue="1" operator="lessThan">
      <formula>0</formula>
    </cfRule>
    <cfRule type="cellIs" dxfId="0" priority="192" stopIfTrue="1" operator="greaterThan">
      <formula>0</formula>
    </cfRule>
  </conditionalFormatting>
  <dataValidations count="1">
    <dataValidation type="list" allowBlank="1" showInputMessage="1" showErrorMessage="1" sqref="B31:B35 B19:B23">
      <formula1>$B$114:$B$141</formula1>
    </dataValidation>
  </dataValidations>
  <pageMargins left="0.75" right="0.72" top="1" bottom="1" header="0.5" footer="0.5"/>
  <pageSetup scale="34" orientation="landscape" r:id="rId1"/>
  <headerFooter alignWithMargins="0"/>
  <ignoredErrors>
    <ignoredError sqref="B39" 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showRowColHeaders="0" workbookViewId="0">
      <selection activeCell="L7" sqref="L7"/>
    </sheetView>
  </sheetViews>
  <sheetFormatPr defaultColWidth="0" defaultRowHeight="12.75" zeroHeight="1"/>
  <cols>
    <col min="1" max="1" width="2.85546875" style="5" customWidth="1"/>
    <col min="2" max="4" width="9.140625" style="5" customWidth="1"/>
    <col min="5" max="5" width="2.85546875" style="5" customWidth="1"/>
    <col min="6" max="7" width="9.140625" style="5" customWidth="1"/>
    <col min="8" max="8" width="2.85546875" style="5" customWidth="1"/>
    <col min="9" max="9" width="9.5703125" style="5" customWidth="1"/>
    <col min="10" max="10" width="10.85546875" style="5" customWidth="1"/>
    <col min="11" max="11" width="2.85546875" style="5" customWidth="1"/>
    <col min="12" max="12" width="14" style="5" customWidth="1"/>
    <col min="13" max="13" width="3.140625" style="5" customWidth="1"/>
    <col min="14" max="14" width="14.28515625" style="5" customWidth="1"/>
    <col min="15" max="15" width="2.85546875" style="5" customWidth="1"/>
    <col min="16" max="16" width="10.28515625" style="5" customWidth="1"/>
    <col min="17" max="17" width="9.140625" style="5" customWidth="1"/>
    <col min="18" max="18" width="2.85546875" style="5" customWidth="1"/>
    <col min="19" max="19" width="14.28515625" style="5" customWidth="1"/>
    <col min="20" max="20" width="10.85546875" style="5" customWidth="1"/>
    <col min="21" max="21" width="2.85546875" style="5" customWidth="1"/>
    <col min="22" max="16384" width="9.140625" style="5" hidden="1"/>
  </cols>
  <sheetData>
    <row r="1" spans="1:21">
      <c r="A1" s="332"/>
      <c r="B1" s="332"/>
      <c r="C1" s="332"/>
      <c r="D1" s="332"/>
      <c r="E1" s="332"/>
      <c r="F1" s="332"/>
      <c r="G1" s="332"/>
      <c r="H1" s="332"/>
      <c r="I1" s="332"/>
      <c r="J1" s="332"/>
      <c r="K1" s="332"/>
      <c r="L1" s="332"/>
      <c r="M1" s="332"/>
      <c r="N1" s="332"/>
      <c r="O1" s="332"/>
      <c r="P1" s="332"/>
      <c r="Q1" s="332"/>
      <c r="R1" s="332"/>
      <c r="S1" s="332"/>
      <c r="T1" s="332"/>
      <c r="U1" s="332"/>
    </row>
    <row r="2" spans="1:21">
      <c r="A2" s="332"/>
      <c r="B2" s="333" t="s">
        <v>175</v>
      </c>
      <c r="C2" s="332"/>
      <c r="D2" s="332"/>
      <c r="E2" s="332"/>
      <c r="F2" s="332"/>
      <c r="G2" s="332"/>
      <c r="H2" s="332"/>
      <c r="I2" s="332"/>
      <c r="J2" s="332"/>
      <c r="K2" s="332"/>
      <c r="L2" s="332"/>
      <c r="M2" s="332"/>
      <c r="N2" s="332"/>
      <c r="O2" s="332"/>
      <c r="P2" s="332"/>
      <c r="Q2" s="332"/>
      <c r="R2" s="332"/>
      <c r="S2" s="332"/>
      <c r="T2" s="332"/>
      <c r="U2" s="332"/>
    </row>
    <row r="3" spans="1:21">
      <c r="A3" s="332"/>
      <c r="B3" s="333"/>
      <c r="C3" s="332"/>
      <c r="D3" s="332"/>
      <c r="E3" s="332"/>
      <c r="F3" s="332"/>
      <c r="G3" s="332"/>
      <c r="H3" s="332"/>
      <c r="I3" s="332"/>
      <c r="J3" s="332"/>
      <c r="K3" s="332"/>
      <c r="L3" s="332"/>
      <c r="M3" s="332"/>
      <c r="N3" s="332"/>
      <c r="O3" s="332"/>
      <c r="P3" s="332"/>
      <c r="Q3" s="332"/>
      <c r="R3" s="332"/>
      <c r="S3" s="332"/>
      <c r="T3" s="332"/>
      <c r="U3" s="332"/>
    </row>
    <row r="4" spans="1:21" ht="13.5" thickBot="1"/>
    <row r="5" spans="1:21" ht="42" customHeight="1" thickBot="1">
      <c r="B5" s="604" t="s">
        <v>87</v>
      </c>
      <c r="C5" s="609"/>
      <c r="D5" s="605"/>
      <c r="E5" s="7"/>
      <c r="F5" s="604" t="s">
        <v>88</v>
      </c>
      <c r="G5" s="605"/>
      <c r="H5" s="7"/>
      <c r="I5" s="604" t="s">
        <v>89</v>
      </c>
      <c r="J5" s="605"/>
      <c r="L5" s="604" t="s">
        <v>5</v>
      </c>
      <c r="M5" s="609"/>
      <c r="N5" s="605"/>
      <c r="O5" s="7"/>
      <c r="P5" s="604" t="s">
        <v>1</v>
      </c>
      <c r="Q5" s="605"/>
      <c r="R5" s="7"/>
      <c r="S5" s="604" t="s">
        <v>90</v>
      </c>
      <c r="T5" s="605"/>
      <c r="U5" s="7"/>
    </row>
    <row r="6" spans="1:21" s="6" customFormat="1" ht="15" thickTop="1">
      <c r="B6" s="409" t="s">
        <v>91</v>
      </c>
      <c r="C6" s="8" t="s">
        <v>92</v>
      </c>
      <c r="D6" s="410" t="s">
        <v>93</v>
      </c>
      <c r="E6" s="9"/>
      <c r="F6" s="409" t="s">
        <v>94</v>
      </c>
      <c r="G6" s="410" t="s">
        <v>95</v>
      </c>
      <c r="H6" s="9"/>
      <c r="I6" s="411" t="s">
        <v>96</v>
      </c>
      <c r="J6" s="412" t="s">
        <v>97</v>
      </c>
      <c r="L6" s="409" t="s">
        <v>98</v>
      </c>
      <c r="M6" s="8"/>
      <c r="N6" s="410" t="s">
        <v>99</v>
      </c>
      <c r="O6" s="9"/>
      <c r="P6" s="409" t="s">
        <v>100</v>
      </c>
      <c r="Q6" s="410" t="s">
        <v>101</v>
      </c>
      <c r="R6" s="9"/>
      <c r="S6" s="409" t="s">
        <v>102</v>
      </c>
      <c r="T6" s="410" t="s">
        <v>103</v>
      </c>
      <c r="U6" s="9"/>
    </row>
    <row r="7" spans="1:21" s="10" customFormat="1">
      <c r="B7" s="415">
        <v>1</v>
      </c>
      <c r="C7" s="408">
        <f>ROUND(B7/(3.2808334)^3*60,0)</f>
        <v>2</v>
      </c>
      <c r="D7" s="416">
        <f>ROUND(C7/3600,3)</f>
        <v>1E-3</v>
      </c>
      <c r="F7" s="415">
        <v>1</v>
      </c>
      <c r="G7" s="417">
        <f>ROUND(F7/3.2808334/60,2)</f>
        <v>0.01</v>
      </c>
      <c r="I7" s="415">
        <v>1</v>
      </c>
      <c r="J7" s="418">
        <f>I7/3.2808334</f>
        <v>0.30480060340765852</v>
      </c>
      <c r="L7" s="415">
        <v>1</v>
      </c>
      <c r="M7" s="429"/>
      <c r="N7" s="417">
        <f>L7/(3.2808334)^3*60</f>
        <v>1.6990208860530269</v>
      </c>
      <c r="P7" s="415">
        <v>0.2</v>
      </c>
      <c r="Q7" s="416">
        <f>P7*249</f>
        <v>49.800000000000004</v>
      </c>
      <c r="S7" s="415">
        <v>1</v>
      </c>
      <c r="T7" s="419">
        <f>(S7-32)*5/9</f>
        <v>-17.222222222222221</v>
      </c>
    </row>
    <row r="8" spans="1:21">
      <c r="A8" s="11"/>
      <c r="B8" s="12">
        <v>2000</v>
      </c>
      <c r="C8" s="13">
        <f t="shared" ref="C8:C47" si="0">B8/(3.2808334)^3*60</f>
        <v>3398.0417721060535</v>
      </c>
      <c r="D8" s="14">
        <f t="shared" ref="D8:D47" si="1">C8/3600</f>
        <v>0.94390049225168149</v>
      </c>
      <c r="E8" s="11"/>
      <c r="F8" s="12">
        <v>50</v>
      </c>
      <c r="G8" s="15">
        <f t="shared" ref="G8:G25" si="2">F8/3.2808334/60</f>
        <v>0.25400050283971543</v>
      </c>
      <c r="H8" s="11"/>
      <c r="I8" s="12">
        <v>10</v>
      </c>
      <c r="J8" s="16">
        <f t="shared" ref="J8:J30" si="3">I8/3.2808334</f>
        <v>3.0480060340765855</v>
      </c>
      <c r="L8" s="17">
        <v>10</v>
      </c>
      <c r="M8" s="423"/>
      <c r="N8" s="18">
        <f t="shared" ref="N8:N28" si="4">L8/(3.2808334)^3*60</f>
        <v>16.990208860530267</v>
      </c>
      <c r="O8" s="11"/>
      <c r="P8" s="19">
        <v>0.01</v>
      </c>
      <c r="Q8" s="20">
        <f t="shared" ref="Q8:Q38" si="5">P8*249</f>
        <v>2.4900000000000002</v>
      </c>
      <c r="S8" s="17">
        <v>32</v>
      </c>
      <c r="T8" s="18">
        <f>(S8-32)/9*5</f>
        <v>0</v>
      </c>
    </row>
    <row r="9" spans="1:21">
      <c r="A9" s="11"/>
      <c r="B9" s="12">
        <f t="shared" ref="B9:B47" si="6">B8+500</f>
        <v>2500</v>
      </c>
      <c r="C9" s="13">
        <f t="shared" si="0"/>
        <v>4247.5522151325677</v>
      </c>
      <c r="D9" s="14">
        <f t="shared" si="1"/>
        <v>1.1798756153146022</v>
      </c>
      <c r="E9" s="11"/>
      <c r="F9" s="12">
        <f>F8+50</f>
        <v>100</v>
      </c>
      <c r="G9" s="15">
        <f t="shared" si="2"/>
        <v>0.50800100567943085</v>
      </c>
      <c r="H9" s="11"/>
      <c r="I9" s="12">
        <f>I8+5</f>
        <v>15</v>
      </c>
      <c r="J9" s="16">
        <f t="shared" si="3"/>
        <v>4.5720090511148781</v>
      </c>
      <c r="L9" s="17">
        <f>L8+1</f>
        <v>11</v>
      </c>
      <c r="M9" s="423"/>
      <c r="N9" s="18">
        <f t="shared" si="4"/>
        <v>18.689229746583294</v>
      </c>
      <c r="O9" s="11"/>
      <c r="P9" s="19">
        <f>P8+0.01</f>
        <v>0.02</v>
      </c>
      <c r="Q9" s="20">
        <f t="shared" si="5"/>
        <v>4.9800000000000004</v>
      </c>
      <c r="S9" s="17">
        <f t="shared" ref="S9:S47" si="7">S8+2</f>
        <v>34</v>
      </c>
      <c r="T9" s="18">
        <f t="shared" ref="T9:T47" si="8">(S9-32)/9*5</f>
        <v>1.1111111111111112</v>
      </c>
    </row>
    <row r="10" spans="1:21">
      <c r="A10" s="11"/>
      <c r="B10" s="12">
        <f t="shared" si="6"/>
        <v>3000</v>
      </c>
      <c r="C10" s="13">
        <f t="shared" si="0"/>
        <v>5097.0626581590805</v>
      </c>
      <c r="D10" s="14">
        <f t="shared" si="1"/>
        <v>1.4158507383775223</v>
      </c>
      <c r="E10" s="11"/>
      <c r="F10" s="12">
        <f t="shared" ref="F10:F25" si="9">F9+50</f>
        <v>150</v>
      </c>
      <c r="G10" s="15">
        <f t="shared" si="2"/>
        <v>0.76200150851914639</v>
      </c>
      <c r="H10" s="11"/>
      <c r="I10" s="12">
        <f t="shared" ref="I10:I19" si="10">I9+5</f>
        <v>20</v>
      </c>
      <c r="J10" s="16">
        <f t="shared" si="3"/>
        <v>6.0960120681531711</v>
      </c>
      <c r="L10" s="17">
        <f t="shared" ref="L10:L28" si="11">L9+1</f>
        <v>12</v>
      </c>
      <c r="M10" s="423"/>
      <c r="N10" s="18">
        <f t="shared" si="4"/>
        <v>20.388250632636325</v>
      </c>
      <c r="O10" s="11"/>
      <c r="P10" s="19">
        <f t="shared" ref="P10:P38" si="12">P9+0.01</f>
        <v>0.03</v>
      </c>
      <c r="Q10" s="20">
        <f t="shared" si="5"/>
        <v>7.47</v>
      </c>
      <c r="S10" s="17">
        <f t="shared" si="7"/>
        <v>36</v>
      </c>
      <c r="T10" s="18">
        <f t="shared" si="8"/>
        <v>2.2222222222222223</v>
      </c>
    </row>
    <row r="11" spans="1:21">
      <c r="A11" s="11"/>
      <c r="B11" s="12">
        <f t="shared" si="6"/>
        <v>3500</v>
      </c>
      <c r="C11" s="13">
        <f t="shared" si="0"/>
        <v>5946.5731011855942</v>
      </c>
      <c r="D11" s="14">
        <f t="shared" si="1"/>
        <v>1.6518258614404429</v>
      </c>
      <c r="E11" s="11"/>
      <c r="F11" s="12">
        <f t="shared" si="9"/>
        <v>200</v>
      </c>
      <c r="G11" s="15">
        <f t="shared" si="2"/>
        <v>1.0160020113588617</v>
      </c>
      <c r="H11" s="11"/>
      <c r="I11" s="12">
        <f t="shared" si="10"/>
        <v>25</v>
      </c>
      <c r="J11" s="16">
        <f t="shared" si="3"/>
        <v>7.6200150851914632</v>
      </c>
      <c r="L11" s="17">
        <f t="shared" si="11"/>
        <v>13</v>
      </c>
      <c r="M11" s="423"/>
      <c r="N11" s="18">
        <f t="shared" si="4"/>
        <v>22.087271518689352</v>
      </c>
      <c r="O11" s="11"/>
      <c r="P11" s="19">
        <f t="shared" si="12"/>
        <v>0.04</v>
      </c>
      <c r="Q11" s="20">
        <f t="shared" si="5"/>
        <v>9.9600000000000009</v>
      </c>
      <c r="S11" s="17">
        <f t="shared" si="7"/>
        <v>38</v>
      </c>
      <c r="T11" s="18">
        <f t="shared" si="8"/>
        <v>3.333333333333333</v>
      </c>
    </row>
    <row r="12" spans="1:21">
      <c r="A12" s="11"/>
      <c r="B12" s="12">
        <f t="shared" si="6"/>
        <v>4000</v>
      </c>
      <c r="C12" s="13">
        <f t="shared" si="0"/>
        <v>6796.083544212107</v>
      </c>
      <c r="D12" s="14">
        <f t="shared" si="1"/>
        <v>1.887800984503363</v>
      </c>
      <c r="E12" s="21"/>
      <c r="F12" s="12">
        <f t="shared" si="9"/>
        <v>250</v>
      </c>
      <c r="G12" s="15">
        <f t="shared" si="2"/>
        <v>1.2700025141985773</v>
      </c>
      <c r="H12" s="11"/>
      <c r="I12" s="12">
        <f t="shared" si="10"/>
        <v>30</v>
      </c>
      <c r="J12" s="16">
        <f t="shared" si="3"/>
        <v>9.1440181022297562</v>
      </c>
      <c r="L12" s="17">
        <f t="shared" si="11"/>
        <v>14</v>
      </c>
      <c r="M12" s="423"/>
      <c r="N12" s="18">
        <f t="shared" si="4"/>
        <v>23.786292404742376</v>
      </c>
      <c r="O12" s="11"/>
      <c r="P12" s="19">
        <f t="shared" si="12"/>
        <v>0.05</v>
      </c>
      <c r="Q12" s="20">
        <f t="shared" si="5"/>
        <v>12.450000000000001</v>
      </c>
      <c r="S12" s="17">
        <f t="shared" si="7"/>
        <v>40</v>
      </c>
      <c r="T12" s="18">
        <f t="shared" si="8"/>
        <v>4.4444444444444446</v>
      </c>
    </row>
    <row r="13" spans="1:21">
      <c r="A13" s="11"/>
      <c r="B13" s="12">
        <f t="shared" si="6"/>
        <v>4500</v>
      </c>
      <c r="C13" s="13">
        <f t="shared" si="0"/>
        <v>7645.5939872386207</v>
      </c>
      <c r="D13" s="14">
        <f t="shared" si="1"/>
        <v>2.1237761075662833</v>
      </c>
      <c r="E13" s="11"/>
      <c r="F13" s="12">
        <f t="shared" si="9"/>
        <v>300</v>
      </c>
      <c r="G13" s="15">
        <f t="shared" si="2"/>
        <v>1.5240030170382928</v>
      </c>
      <c r="H13" s="11"/>
      <c r="I13" s="12">
        <f t="shared" si="10"/>
        <v>35</v>
      </c>
      <c r="J13" s="16">
        <f t="shared" si="3"/>
        <v>10.668021119268049</v>
      </c>
      <c r="L13" s="17">
        <f t="shared" si="11"/>
        <v>15</v>
      </c>
      <c r="M13" s="423"/>
      <c r="N13" s="18">
        <f t="shared" si="4"/>
        <v>25.485313290795403</v>
      </c>
      <c r="O13" s="11"/>
      <c r="P13" s="19">
        <f t="shared" si="12"/>
        <v>6.0000000000000005E-2</v>
      </c>
      <c r="Q13" s="20">
        <f t="shared" si="5"/>
        <v>14.940000000000001</v>
      </c>
      <c r="S13" s="17">
        <f t="shared" si="7"/>
        <v>42</v>
      </c>
      <c r="T13" s="18">
        <f t="shared" si="8"/>
        <v>5.5555555555555554</v>
      </c>
    </row>
    <row r="14" spans="1:21">
      <c r="A14" s="11"/>
      <c r="B14" s="12">
        <f t="shared" si="6"/>
        <v>5000</v>
      </c>
      <c r="C14" s="13">
        <f t="shared" si="0"/>
        <v>8495.1044302651353</v>
      </c>
      <c r="D14" s="14">
        <f t="shared" si="1"/>
        <v>2.3597512306292043</v>
      </c>
      <c r="E14" s="11"/>
      <c r="F14" s="12">
        <f t="shared" si="9"/>
        <v>350</v>
      </c>
      <c r="G14" s="15">
        <f t="shared" si="2"/>
        <v>1.7780035198780082</v>
      </c>
      <c r="H14" s="11"/>
      <c r="I14" s="12">
        <f t="shared" si="10"/>
        <v>40</v>
      </c>
      <c r="J14" s="16">
        <f t="shared" si="3"/>
        <v>12.192024136306342</v>
      </c>
      <c r="L14" s="17">
        <f t="shared" si="11"/>
        <v>16</v>
      </c>
      <c r="M14" s="423"/>
      <c r="N14" s="18">
        <f t="shared" si="4"/>
        <v>27.184334176848431</v>
      </c>
      <c r="O14" s="11"/>
      <c r="P14" s="19">
        <f t="shared" si="12"/>
        <v>7.0000000000000007E-2</v>
      </c>
      <c r="Q14" s="20">
        <f t="shared" si="5"/>
        <v>17.430000000000003</v>
      </c>
      <c r="S14" s="17">
        <f t="shared" si="7"/>
        <v>44</v>
      </c>
      <c r="T14" s="18">
        <f t="shared" si="8"/>
        <v>6.6666666666666661</v>
      </c>
    </row>
    <row r="15" spans="1:21">
      <c r="A15" s="11"/>
      <c r="B15" s="12">
        <f t="shared" si="6"/>
        <v>5500</v>
      </c>
      <c r="C15" s="13">
        <f t="shared" si="0"/>
        <v>9344.6148732916481</v>
      </c>
      <c r="D15" s="14">
        <f t="shared" si="1"/>
        <v>2.5957263536921245</v>
      </c>
      <c r="E15" s="11"/>
      <c r="F15" s="12">
        <f t="shared" si="9"/>
        <v>400</v>
      </c>
      <c r="G15" s="15">
        <f t="shared" si="2"/>
        <v>2.0320040227177234</v>
      </c>
      <c r="H15" s="11"/>
      <c r="I15" s="12">
        <f t="shared" si="10"/>
        <v>45</v>
      </c>
      <c r="J15" s="16">
        <f t="shared" si="3"/>
        <v>13.716027153344635</v>
      </c>
      <c r="L15" s="17">
        <f t="shared" si="11"/>
        <v>17</v>
      </c>
      <c r="M15" s="423"/>
      <c r="N15" s="18">
        <f t="shared" si="4"/>
        <v>28.883355062901458</v>
      </c>
      <c r="O15" s="11"/>
      <c r="P15" s="19">
        <f t="shared" si="12"/>
        <v>0.08</v>
      </c>
      <c r="Q15" s="20">
        <f t="shared" si="5"/>
        <v>19.920000000000002</v>
      </c>
      <c r="S15" s="17">
        <f t="shared" si="7"/>
        <v>46</v>
      </c>
      <c r="T15" s="18">
        <f t="shared" si="8"/>
        <v>7.7777777777777777</v>
      </c>
    </row>
    <row r="16" spans="1:21">
      <c r="A16" s="11"/>
      <c r="B16" s="12">
        <f t="shared" si="6"/>
        <v>6000</v>
      </c>
      <c r="C16" s="13">
        <f t="shared" si="0"/>
        <v>10194.125316318161</v>
      </c>
      <c r="D16" s="14">
        <f t="shared" si="1"/>
        <v>2.8317014767550446</v>
      </c>
      <c r="E16" s="11"/>
      <c r="F16" s="12">
        <f t="shared" si="9"/>
        <v>450</v>
      </c>
      <c r="G16" s="15">
        <f t="shared" si="2"/>
        <v>2.286004525557439</v>
      </c>
      <c r="H16" s="11"/>
      <c r="I16" s="12">
        <f t="shared" si="10"/>
        <v>50</v>
      </c>
      <c r="J16" s="16">
        <f t="shared" si="3"/>
        <v>15.240030170382926</v>
      </c>
      <c r="L16" s="17">
        <f t="shared" si="11"/>
        <v>18</v>
      </c>
      <c r="M16" s="423"/>
      <c r="N16" s="18">
        <f t="shared" si="4"/>
        <v>30.582375948954482</v>
      </c>
      <c r="O16" s="11"/>
      <c r="P16" s="19">
        <f t="shared" si="12"/>
        <v>0.09</v>
      </c>
      <c r="Q16" s="20">
        <f t="shared" si="5"/>
        <v>22.41</v>
      </c>
      <c r="S16" s="17">
        <f t="shared" si="7"/>
        <v>48</v>
      </c>
      <c r="T16" s="18">
        <f t="shared" si="8"/>
        <v>8.8888888888888893</v>
      </c>
    </row>
    <row r="17" spans="1:20">
      <c r="A17" s="11"/>
      <c r="B17" s="12">
        <f t="shared" si="6"/>
        <v>6500</v>
      </c>
      <c r="C17" s="13">
        <f t="shared" si="0"/>
        <v>11043.635759344674</v>
      </c>
      <c r="D17" s="14">
        <f t="shared" si="1"/>
        <v>3.0676765998179647</v>
      </c>
      <c r="E17" s="11"/>
      <c r="F17" s="12">
        <f t="shared" si="9"/>
        <v>500</v>
      </c>
      <c r="G17" s="15">
        <f t="shared" si="2"/>
        <v>2.5400050283971547</v>
      </c>
      <c r="H17" s="11"/>
      <c r="I17" s="12">
        <f t="shared" si="10"/>
        <v>55</v>
      </c>
      <c r="J17" s="16">
        <f t="shared" si="3"/>
        <v>16.764033187421219</v>
      </c>
      <c r="L17" s="17">
        <f t="shared" si="11"/>
        <v>19</v>
      </c>
      <c r="M17" s="423"/>
      <c r="N17" s="18">
        <f t="shared" si="4"/>
        <v>32.281396835007513</v>
      </c>
      <c r="O17" s="11"/>
      <c r="P17" s="19">
        <f t="shared" si="12"/>
        <v>9.9999999999999992E-2</v>
      </c>
      <c r="Q17" s="20">
        <f t="shared" si="5"/>
        <v>24.9</v>
      </c>
      <c r="S17" s="17">
        <f t="shared" si="7"/>
        <v>50</v>
      </c>
      <c r="T17" s="18">
        <f t="shared" si="8"/>
        <v>10</v>
      </c>
    </row>
    <row r="18" spans="1:20">
      <c r="A18" s="11"/>
      <c r="B18" s="12">
        <f t="shared" si="6"/>
        <v>7000</v>
      </c>
      <c r="C18" s="13">
        <f t="shared" si="0"/>
        <v>11893.146202371188</v>
      </c>
      <c r="D18" s="14">
        <f t="shared" si="1"/>
        <v>3.3036517228808857</v>
      </c>
      <c r="E18" s="11"/>
      <c r="F18" s="12">
        <f t="shared" si="9"/>
        <v>550</v>
      </c>
      <c r="G18" s="15">
        <f t="shared" si="2"/>
        <v>2.7940055312368699</v>
      </c>
      <c r="H18" s="11"/>
      <c r="I18" s="12">
        <f t="shared" si="10"/>
        <v>60</v>
      </c>
      <c r="J18" s="16">
        <f t="shared" si="3"/>
        <v>18.288036204459512</v>
      </c>
      <c r="L18" s="17">
        <f t="shared" si="11"/>
        <v>20</v>
      </c>
      <c r="M18" s="423"/>
      <c r="N18" s="18">
        <f t="shared" si="4"/>
        <v>33.980417721060533</v>
      </c>
      <c r="O18" s="11"/>
      <c r="P18" s="19">
        <f t="shared" si="12"/>
        <v>0.10999999999999999</v>
      </c>
      <c r="Q18" s="20">
        <f t="shared" si="5"/>
        <v>27.389999999999997</v>
      </c>
      <c r="S18" s="17">
        <f t="shared" si="7"/>
        <v>52</v>
      </c>
      <c r="T18" s="18">
        <f t="shared" si="8"/>
        <v>11.111111111111111</v>
      </c>
    </row>
    <row r="19" spans="1:20">
      <c r="A19" s="11"/>
      <c r="B19" s="12">
        <f t="shared" si="6"/>
        <v>7500</v>
      </c>
      <c r="C19" s="13">
        <f t="shared" si="0"/>
        <v>12742.656645397703</v>
      </c>
      <c r="D19" s="14">
        <f t="shared" si="1"/>
        <v>3.5396268459438063</v>
      </c>
      <c r="E19" s="11"/>
      <c r="F19" s="12">
        <f t="shared" si="9"/>
        <v>600</v>
      </c>
      <c r="G19" s="15">
        <f t="shared" si="2"/>
        <v>3.0480060340765855</v>
      </c>
      <c r="H19" s="11"/>
      <c r="I19" s="12">
        <f t="shared" si="10"/>
        <v>65</v>
      </c>
      <c r="J19" s="16">
        <f t="shared" si="3"/>
        <v>19.812039221497805</v>
      </c>
      <c r="L19" s="17">
        <f t="shared" si="11"/>
        <v>21</v>
      </c>
      <c r="M19" s="423"/>
      <c r="N19" s="18">
        <f t="shared" si="4"/>
        <v>35.679438607113561</v>
      </c>
      <c r="O19" s="11"/>
      <c r="P19" s="19">
        <f t="shared" si="12"/>
        <v>0.11999999999999998</v>
      </c>
      <c r="Q19" s="20">
        <f t="shared" si="5"/>
        <v>29.879999999999995</v>
      </c>
      <c r="S19" s="17">
        <f t="shared" si="7"/>
        <v>54</v>
      </c>
      <c r="T19" s="18">
        <f t="shared" si="8"/>
        <v>12.222222222222223</v>
      </c>
    </row>
    <row r="20" spans="1:20">
      <c r="A20" s="11"/>
      <c r="B20" s="12">
        <f t="shared" si="6"/>
        <v>8000</v>
      </c>
      <c r="C20" s="13">
        <f t="shared" si="0"/>
        <v>13592.167088424214</v>
      </c>
      <c r="D20" s="14">
        <f t="shared" si="1"/>
        <v>3.775601969006726</v>
      </c>
      <c r="E20" s="11"/>
      <c r="F20" s="12">
        <f t="shared" si="9"/>
        <v>650</v>
      </c>
      <c r="G20" s="15">
        <f t="shared" si="2"/>
        <v>3.3020065369163007</v>
      </c>
      <c r="H20" s="11"/>
      <c r="I20" s="12">
        <v>100</v>
      </c>
      <c r="J20" s="16">
        <f t="shared" si="3"/>
        <v>30.480060340765853</v>
      </c>
      <c r="L20" s="17">
        <f t="shared" si="11"/>
        <v>22</v>
      </c>
      <c r="M20" s="423"/>
      <c r="N20" s="18">
        <f t="shared" si="4"/>
        <v>37.378459493166588</v>
      </c>
      <c r="O20" s="11"/>
      <c r="P20" s="19">
        <f t="shared" si="12"/>
        <v>0.12999999999999998</v>
      </c>
      <c r="Q20" s="20">
        <f t="shared" si="5"/>
        <v>32.369999999999997</v>
      </c>
      <c r="S20" s="17">
        <f t="shared" si="7"/>
        <v>56</v>
      </c>
      <c r="T20" s="18">
        <f t="shared" si="8"/>
        <v>13.333333333333332</v>
      </c>
    </row>
    <row r="21" spans="1:20">
      <c r="A21" s="11"/>
      <c r="B21" s="12">
        <f t="shared" si="6"/>
        <v>8500</v>
      </c>
      <c r="C21" s="13">
        <f t="shared" si="0"/>
        <v>14441.677531450729</v>
      </c>
      <c r="D21" s="14">
        <f t="shared" si="1"/>
        <v>4.011577092069647</v>
      </c>
      <c r="E21" s="11"/>
      <c r="F21" s="12">
        <f t="shared" si="9"/>
        <v>700</v>
      </c>
      <c r="G21" s="15">
        <f t="shared" si="2"/>
        <v>3.5560070397560164</v>
      </c>
      <c r="H21" s="11"/>
      <c r="I21" s="12">
        <v>300</v>
      </c>
      <c r="J21" s="16">
        <f t="shared" si="3"/>
        <v>91.440181022297566</v>
      </c>
      <c r="L21" s="17">
        <f t="shared" si="11"/>
        <v>23</v>
      </c>
      <c r="M21" s="423"/>
      <c r="N21" s="18">
        <f t="shared" si="4"/>
        <v>39.077480379219615</v>
      </c>
      <c r="O21" s="11"/>
      <c r="P21" s="19">
        <f t="shared" si="12"/>
        <v>0.13999999999999999</v>
      </c>
      <c r="Q21" s="20">
        <f t="shared" si="5"/>
        <v>34.86</v>
      </c>
      <c r="S21" s="17">
        <f t="shared" si="7"/>
        <v>58</v>
      </c>
      <c r="T21" s="18">
        <f t="shared" si="8"/>
        <v>14.444444444444445</v>
      </c>
    </row>
    <row r="22" spans="1:20">
      <c r="A22" s="11"/>
      <c r="B22" s="12">
        <f t="shared" si="6"/>
        <v>9000</v>
      </c>
      <c r="C22" s="13">
        <f t="shared" si="0"/>
        <v>15291.187974477241</v>
      </c>
      <c r="D22" s="14">
        <f t="shared" si="1"/>
        <v>4.2475522151325666</v>
      </c>
      <c r="E22" s="11"/>
      <c r="F22" s="12">
        <f t="shared" si="9"/>
        <v>750</v>
      </c>
      <c r="G22" s="15">
        <f t="shared" si="2"/>
        <v>3.810007542595732</v>
      </c>
      <c r="H22" s="11"/>
      <c r="I22" s="12">
        <f>I21+50</f>
        <v>350</v>
      </c>
      <c r="J22" s="16">
        <f t="shared" si="3"/>
        <v>106.68021119268049</v>
      </c>
      <c r="L22" s="17">
        <f t="shared" si="11"/>
        <v>24</v>
      </c>
      <c r="M22" s="423"/>
      <c r="N22" s="18">
        <f t="shared" si="4"/>
        <v>40.77650126527265</v>
      </c>
      <c r="O22" s="11"/>
      <c r="P22" s="19">
        <f t="shared" si="12"/>
        <v>0.15</v>
      </c>
      <c r="Q22" s="20">
        <f t="shared" si="5"/>
        <v>37.35</v>
      </c>
      <c r="S22" s="17">
        <f t="shared" si="7"/>
        <v>60</v>
      </c>
      <c r="T22" s="18">
        <f t="shared" si="8"/>
        <v>15.555555555555555</v>
      </c>
    </row>
    <row r="23" spans="1:20">
      <c r="A23" s="11"/>
      <c r="B23" s="12">
        <f t="shared" si="6"/>
        <v>9500</v>
      </c>
      <c r="C23" s="13">
        <f t="shared" si="0"/>
        <v>16140.698417503754</v>
      </c>
      <c r="D23" s="14">
        <f t="shared" si="1"/>
        <v>4.4835273381954872</v>
      </c>
      <c r="E23" s="11"/>
      <c r="F23" s="12">
        <f t="shared" si="9"/>
        <v>800</v>
      </c>
      <c r="G23" s="15">
        <f t="shared" si="2"/>
        <v>4.0640080454354468</v>
      </c>
      <c r="H23" s="11"/>
      <c r="I23" s="12">
        <f t="shared" ref="I23:I29" si="13">I22+50</f>
        <v>400</v>
      </c>
      <c r="J23" s="16">
        <f t="shared" si="3"/>
        <v>121.92024136306341</v>
      </c>
      <c r="L23" s="17">
        <f t="shared" si="11"/>
        <v>25</v>
      </c>
      <c r="M23" s="423"/>
      <c r="N23" s="18">
        <f t="shared" si="4"/>
        <v>42.475522151325677</v>
      </c>
      <c r="O23" s="11"/>
      <c r="P23" s="19">
        <f t="shared" si="12"/>
        <v>0.16</v>
      </c>
      <c r="Q23" s="20">
        <f t="shared" si="5"/>
        <v>39.840000000000003</v>
      </c>
      <c r="S23" s="17">
        <f t="shared" si="7"/>
        <v>62</v>
      </c>
      <c r="T23" s="18">
        <f t="shared" si="8"/>
        <v>16.666666666666668</v>
      </c>
    </row>
    <row r="24" spans="1:20">
      <c r="A24" s="11"/>
      <c r="B24" s="12">
        <f t="shared" si="6"/>
        <v>10000</v>
      </c>
      <c r="C24" s="13">
        <f t="shared" si="0"/>
        <v>16990.208860530271</v>
      </c>
      <c r="D24" s="14">
        <f t="shared" si="1"/>
        <v>4.7195024612584087</v>
      </c>
      <c r="E24" s="11"/>
      <c r="F24" s="12">
        <f t="shared" si="9"/>
        <v>850</v>
      </c>
      <c r="G24" s="15">
        <f t="shared" si="2"/>
        <v>4.3180085482751629</v>
      </c>
      <c r="H24" s="11"/>
      <c r="I24" s="12">
        <f>I23+50</f>
        <v>450</v>
      </c>
      <c r="J24" s="16">
        <f t="shared" si="3"/>
        <v>137.16027153344635</v>
      </c>
      <c r="L24" s="17">
        <f t="shared" si="11"/>
        <v>26</v>
      </c>
      <c r="M24" s="423"/>
      <c r="N24" s="18">
        <f t="shared" si="4"/>
        <v>44.174543037378704</v>
      </c>
      <c r="O24" s="11"/>
      <c r="P24" s="19">
        <f t="shared" si="12"/>
        <v>0.17</v>
      </c>
      <c r="Q24" s="20">
        <f t="shared" si="5"/>
        <v>42.330000000000005</v>
      </c>
      <c r="S24" s="17">
        <f t="shared" si="7"/>
        <v>64</v>
      </c>
      <c r="T24" s="18">
        <f t="shared" si="8"/>
        <v>17.777777777777779</v>
      </c>
    </row>
    <row r="25" spans="1:20" ht="13.5" thickBot="1">
      <c r="A25" s="11"/>
      <c r="B25" s="12">
        <f t="shared" si="6"/>
        <v>10500</v>
      </c>
      <c r="C25" s="13">
        <f t="shared" si="0"/>
        <v>17839.719303556783</v>
      </c>
      <c r="D25" s="14">
        <f t="shared" si="1"/>
        <v>4.9554775843213283</v>
      </c>
      <c r="E25" s="11"/>
      <c r="F25" s="22">
        <f t="shared" si="9"/>
        <v>900</v>
      </c>
      <c r="G25" s="23">
        <f t="shared" si="2"/>
        <v>4.5720090511148781</v>
      </c>
      <c r="H25" s="11"/>
      <c r="I25" s="12">
        <f t="shared" si="13"/>
        <v>500</v>
      </c>
      <c r="J25" s="16">
        <f t="shared" si="3"/>
        <v>152.40030170382929</v>
      </c>
      <c r="L25" s="17">
        <f t="shared" si="11"/>
        <v>27</v>
      </c>
      <c r="M25" s="423"/>
      <c r="N25" s="18">
        <f t="shared" si="4"/>
        <v>45.873563923431732</v>
      </c>
      <c r="O25" s="11"/>
      <c r="P25" s="19">
        <f t="shared" si="12"/>
        <v>0.18000000000000002</v>
      </c>
      <c r="Q25" s="20">
        <f t="shared" si="5"/>
        <v>44.820000000000007</v>
      </c>
      <c r="S25" s="17">
        <f t="shared" si="7"/>
        <v>66</v>
      </c>
      <c r="T25" s="18">
        <f t="shared" si="8"/>
        <v>18.888888888888889</v>
      </c>
    </row>
    <row r="26" spans="1:20">
      <c r="A26" s="11"/>
      <c r="B26" s="12">
        <f t="shared" si="6"/>
        <v>11000</v>
      </c>
      <c r="C26" s="13">
        <f t="shared" si="0"/>
        <v>18689.229746583296</v>
      </c>
      <c r="D26" s="14">
        <f t="shared" si="1"/>
        <v>5.1914527073842489</v>
      </c>
      <c r="E26" s="11"/>
      <c r="F26" s="11"/>
      <c r="G26" s="11"/>
      <c r="H26" s="11"/>
      <c r="I26" s="12">
        <f t="shared" si="13"/>
        <v>550</v>
      </c>
      <c r="J26" s="16">
        <f t="shared" si="3"/>
        <v>167.64033187421219</v>
      </c>
      <c r="L26" s="17">
        <f t="shared" si="11"/>
        <v>28</v>
      </c>
      <c r="M26" s="423"/>
      <c r="N26" s="18">
        <f t="shared" si="4"/>
        <v>47.572584809484752</v>
      </c>
      <c r="O26" s="11"/>
      <c r="P26" s="19">
        <f t="shared" si="12"/>
        <v>0.19000000000000003</v>
      </c>
      <c r="Q26" s="20">
        <f t="shared" si="5"/>
        <v>47.310000000000009</v>
      </c>
      <c r="S26" s="17">
        <f t="shared" si="7"/>
        <v>68</v>
      </c>
      <c r="T26" s="18">
        <f t="shared" si="8"/>
        <v>20</v>
      </c>
    </row>
    <row r="27" spans="1:20">
      <c r="A27" s="11"/>
      <c r="B27" s="12">
        <f t="shared" si="6"/>
        <v>11500</v>
      </c>
      <c r="C27" s="13">
        <f t="shared" si="0"/>
        <v>19538.740189609809</v>
      </c>
      <c r="D27" s="14">
        <f t="shared" si="1"/>
        <v>5.4274278304471695</v>
      </c>
      <c r="E27" s="11"/>
      <c r="H27" s="11"/>
      <c r="I27" s="12">
        <f t="shared" si="13"/>
        <v>600</v>
      </c>
      <c r="J27" s="16">
        <f t="shared" si="3"/>
        <v>182.88036204459513</v>
      </c>
      <c r="L27" s="17">
        <f t="shared" si="11"/>
        <v>29</v>
      </c>
      <c r="M27" s="423"/>
      <c r="N27" s="18">
        <f t="shared" si="4"/>
        <v>49.271605695537779</v>
      </c>
      <c r="O27" s="11"/>
      <c r="P27" s="19">
        <f t="shared" si="12"/>
        <v>0.20000000000000004</v>
      </c>
      <c r="Q27" s="20">
        <f t="shared" si="5"/>
        <v>49.800000000000011</v>
      </c>
      <c r="S27" s="17">
        <f t="shared" si="7"/>
        <v>70</v>
      </c>
      <c r="T27" s="18">
        <f t="shared" si="8"/>
        <v>21.111111111111111</v>
      </c>
    </row>
    <row r="28" spans="1:20" ht="13.5" thickBot="1">
      <c r="A28" s="11"/>
      <c r="B28" s="12">
        <f t="shared" si="6"/>
        <v>12000</v>
      </c>
      <c r="C28" s="13">
        <f t="shared" si="0"/>
        <v>20388.250632636322</v>
      </c>
      <c r="D28" s="14">
        <f t="shared" si="1"/>
        <v>5.6634029535100892</v>
      </c>
      <c r="E28" s="11"/>
      <c r="I28" s="12">
        <f t="shared" si="13"/>
        <v>650</v>
      </c>
      <c r="J28" s="16">
        <f t="shared" si="3"/>
        <v>198.12039221497804</v>
      </c>
      <c r="L28" s="24">
        <f t="shared" si="11"/>
        <v>30</v>
      </c>
      <c r="M28" s="424"/>
      <c r="N28" s="25">
        <f t="shared" si="4"/>
        <v>50.970626581590807</v>
      </c>
      <c r="O28" s="11"/>
      <c r="P28" s="19">
        <f t="shared" si="12"/>
        <v>0.21000000000000005</v>
      </c>
      <c r="Q28" s="20">
        <f t="shared" si="5"/>
        <v>52.290000000000013</v>
      </c>
      <c r="S28" s="17">
        <f t="shared" si="7"/>
        <v>72</v>
      </c>
      <c r="T28" s="18">
        <f t="shared" si="8"/>
        <v>22.222222222222221</v>
      </c>
    </row>
    <row r="29" spans="1:20" ht="13.5" thickBot="1">
      <c r="A29" s="11"/>
      <c r="B29" s="12">
        <f t="shared" si="6"/>
        <v>12500</v>
      </c>
      <c r="C29" s="13">
        <f t="shared" si="0"/>
        <v>21237.761075662838</v>
      </c>
      <c r="D29" s="14">
        <f t="shared" si="1"/>
        <v>5.8993780765730106</v>
      </c>
      <c r="E29" s="11"/>
      <c r="H29" s="11"/>
      <c r="I29" s="12">
        <f t="shared" si="13"/>
        <v>700</v>
      </c>
      <c r="J29" s="16">
        <f t="shared" si="3"/>
        <v>213.36042238536098</v>
      </c>
      <c r="L29" s="26"/>
      <c r="M29" s="26"/>
      <c r="N29" s="27"/>
      <c r="O29" s="11"/>
      <c r="P29" s="19">
        <f t="shared" si="12"/>
        <v>0.22000000000000006</v>
      </c>
      <c r="Q29" s="20">
        <f t="shared" si="5"/>
        <v>54.780000000000015</v>
      </c>
      <c r="S29" s="17">
        <f t="shared" si="7"/>
        <v>74</v>
      </c>
      <c r="T29" s="18">
        <f t="shared" si="8"/>
        <v>23.333333333333336</v>
      </c>
    </row>
    <row r="30" spans="1:20" ht="23.25" customHeight="1" thickBot="1">
      <c r="A30" s="11"/>
      <c r="B30" s="12">
        <f>B29+500</f>
        <v>13000</v>
      </c>
      <c r="C30" s="13">
        <f t="shared" si="0"/>
        <v>22087.271518689347</v>
      </c>
      <c r="D30" s="14">
        <f t="shared" si="1"/>
        <v>6.1353531996359294</v>
      </c>
      <c r="E30" s="11"/>
      <c r="H30" s="11"/>
      <c r="I30" s="22">
        <f>I29+50</f>
        <v>750</v>
      </c>
      <c r="J30" s="28">
        <f t="shared" si="3"/>
        <v>228.60045255574391</v>
      </c>
      <c r="L30" s="606" t="s">
        <v>5</v>
      </c>
      <c r="M30" s="607"/>
      <c r="N30" s="608"/>
      <c r="O30" s="11"/>
      <c r="P30" s="19">
        <f>P29+0.01</f>
        <v>0.23000000000000007</v>
      </c>
      <c r="Q30" s="20">
        <f t="shared" si="5"/>
        <v>57.270000000000017</v>
      </c>
      <c r="S30" s="17">
        <f>S29+2</f>
        <v>76</v>
      </c>
      <c r="T30" s="18">
        <f t="shared" si="8"/>
        <v>24.444444444444446</v>
      </c>
    </row>
    <row r="31" spans="1:20" ht="4.5" customHeight="1" thickBot="1">
      <c r="A31" s="11"/>
      <c r="B31" s="12"/>
      <c r="C31" s="13"/>
      <c r="D31" s="14"/>
      <c r="E31" s="11"/>
      <c r="H31" s="11"/>
      <c r="I31" s="420"/>
      <c r="J31" s="38"/>
      <c r="L31" s="421"/>
      <c r="M31" s="425"/>
      <c r="N31" s="422"/>
      <c r="O31" s="11"/>
      <c r="P31" s="19"/>
      <c r="Q31" s="20"/>
      <c r="S31" s="17"/>
      <c r="T31" s="18"/>
    </row>
    <row r="32" spans="1:20" ht="15" customHeight="1" thickTop="1">
      <c r="A32" s="11"/>
      <c r="B32" s="12">
        <f>B30+500</f>
        <v>13500</v>
      </c>
      <c r="C32" s="13">
        <f t="shared" si="0"/>
        <v>22936.781961715864</v>
      </c>
      <c r="D32" s="14">
        <f t="shared" si="1"/>
        <v>6.3713283226988509</v>
      </c>
      <c r="E32" s="11"/>
      <c r="H32" s="11"/>
      <c r="L32" s="413" t="s">
        <v>104</v>
      </c>
      <c r="M32" s="426"/>
      <c r="N32" s="414" t="s">
        <v>105</v>
      </c>
      <c r="O32" s="11"/>
      <c r="P32" s="19">
        <f>P30+0.01</f>
        <v>0.24000000000000007</v>
      </c>
      <c r="Q32" s="20">
        <f t="shared" si="5"/>
        <v>59.760000000000019</v>
      </c>
      <c r="S32" s="17">
        <f>S30+2</f>
        <v>78</v>
      </c>
      <c r="T32" s="18">
        <f t="shared" si="8"/>
        <v>25.555555555555554</v>
      </c>
    </row>
    <row r="33" spans="1:20">
      <c r="A33" s="11"/>
      <c r="B33" s="12">
        <f t="shared" si="6"/>
        <v>14000</v>
      </c>
      <c r="C33" s="13">
        <f t="shared" si="0"/>
        <v>23786.292404742377</v>
      </c>
      <c r="D33" s="14">
        <f t="shared" si="1"/>
        <v>6.6073034457617714</v>
      </c>
      <c r="E33" s="11"/>
      <c r="H33" s="11"/>
      <c r="L33" s="415">
        <v>1</v>
      </c>
      <c r="M33" s="429"/>
      <c r="N33" s="417">
        <f>1/(L33/(3.2808334)^3*60)</f>
        <v>0.5885742831114259</v>
      </c>
      <c r="O33" s="11"/>
      <c r="P33" s="19">
        <f t="shared" si="12"/>
        <v>0.25000000000000006</v>
      </c>
      <c r="Q33" s="20">
        <f t="shared" si="5"/>
        <v>62.250000000000014</v>
      </c>
      <c r="S33" s="17">
        <f t="shared" si="7"/>
        <v>80</v>
      </c>
      <c r="T33" s="18">
        <f t="shared" si="8"/>
        <v>26.666666666666664</v>
      </c>
    </row>
    <row r="34" spans="1:20">
      <c r="A34" s="11"/>
      <c r="B34" s="12">
        <f t="shared" si="6"/>
        <v>14500</v>
      </c>
      <c r="C34" s="13">
        <f t="shared" si="0"/>
        <v>24635.802847768889</v>
      </c>
      <c r="D34" s="14">
        <f t="shared" si="1"/>
        <v>6.8432785688246911</v>
      </c>
      <c r="E34" s="11"/>
      <c r="H34" s="11"/>
      <c r="L34" s="29">
        <f t="shared" ref="L34:L54" si="14">1/L8</f>
        <v>0.1</v>
      </c>
      <c r="M34" s="427"/>
      <c r="N34" s="30">
        <f t="shared" ref="N34:N54" si="15">1/(N8)</f>
        <v>5.8857428311142601E-2</v>
      </c>
      <c r="O34" s="11"/>
      <c r="P34" s="19">
        <f t="shared" si="12"/>
        <v>0.26000000000000006</v>
      </c>
      <c r="Q34" s="20">
        <f t="shared" si="5"/>
        <v>64.740000000000009</v>
      </c>
      <c r="S34" s="17">
        <f t="shared" si="7"/>
        <v>82</v>
      </c>
      <c r="T34" s="18">
        <f t="shared" si="8"/>
        <v>27.777777777777779</v>
      </c>
    </row>
    <row r="35" spans="1:20">
      <c r="A35" s="11"/>
      <c r="B35" s="12">
        <f t="shared" si="6"/>
        <v>15000</v>
      </c>
      <c r="C35" s="13">
        <f t="shared" si="0"/>
        <v>25485.313290795406</v>
      </c>
      <c r="D35" s="14">
        <f t="shared" si="1"/>
        <v>7.0792536918876126</v>
      </c>
      <c r="E35" s="11"/>
      <c r="H35" s="11"/>
      <c r="L35" s="29">
        <f t="shared" si="14"/>
        <v>9.0909090909090912E-2</v>
      </c>
      <c r="M35" s="427"/>
      <c r="N35" s="30">
        <f t="shared" si="15"/>
        <v>5.3506753010129637E-2</v>
      </c>
      <c r="O35" s="11"/>
      <c r="P35" s="19">
        <f t="shared" si="12"/>
        <v>0.27000000000000007</v>
      </c>
      <c r="Q35" s="20">
        <f t="shared" si="5"/>
        <v>67.230000000000018</v>
      </c>
      <c r="S35" s="17">
        <f t="shared" si="7"/>
        <v>84</v>
      </c>
      <c r="T35" s="18">
        <f t="shared" si="8"/>
        <v>28.888888888888889</v>
      </c>
    </row>
    <row r="36" spans="1:20">
      <c r="A36" s="11"/>
      <c r="B36" s="12">
        <f t="shared" si="6"/>
        <v>15500</v>
      </c>
      <c r="C36" s="13">
        <f t="shared" si="0"/>
        <v>26334.823733821915</v>
      </c>
      <c r="D36" s="14">
        <f t="shared" si="1"/>
        <v>7.3152288149505322</v>
      </c>
      <c r="E36" s="11"/>
      <c r="H36" s="11"/>
      <c r="L36" s="29">
        <f t="shared" si="14"/>
        <v>8.3333333333333329E-2</v>
      </c>
      <c r="M36" s="427"/>
      <c r="N36" s="30">
        <f t="shared" si="15"/>
        <v>4.9047856925952156E-2</v>
      </c>
      <c r="O36" s="11"/>
      <c r="P36" s="19">
        <f t="shared" si="12"/>
        <v>0.28000000000000008</v>
      </c>
      <c r="Q36" s="20">
        <f t="shared" si="5"/>
        <v>69.720000000000027</v>
      </c>
      <c r="S36" s="17">
        <f t="shared" si="7"/>
        <v>86</v>
      </c>
      <c r="T36" s="18">
        <f t="shared" si="8"/>
        <v>30</v>
      </c>
    </row>
    <row r="37" spans="1:20">
      <c r="A37" s="11"/>
      <c r="B37" s="12">
        <f t="shared" si="6"/>
        <v>16000</v>
      </c>
      <c r="C37" s="13">
        <f t="shared" si="0"/>
        <v>27184.334176848428</v>
      </c>
      <c r="D37" s="14">
        <f t="shared" si="1"/>
        <v>7.5512039380134519</v>
      </c>
      <c r="E37" s="11"/>
      <c r="H37" s="11"/>
      <c r="L37" s="29">
        <f t="shared" si="14"/>
        <v>7.6923076923076927E-2</v>
      </c>
      <c r="M37" s="427"/>
      <c r="N37" s="30">
        <f t="shared" si="15"/>
        <v>4.5274944854725066E-2</v>
      </c>
      <c r="O37" s="11"/>
      <c r="P37" s="19">
        <f t="shared" si="12"/>
        <v>0.29000000000000009</v>
      </c>
      <c r="Q37" s="20">
        <f t="shared" si="5"/>
        <v>72.210000000000022</v>
      </c>
      <c r="S37" s="17">
        <f t="shared" si="7"/>
        <v>88</v>
      </c>
      <c r="T37" s="18">
        <f t="shared" si="8"/>
        <v>31.111111111111111</v>
      </c>
    </row>
    <row r="38" spans="1:20" ht="13.5" thickBot="1">
      <c r="A38" s="11"/>
      <c r="B38" s="12">
        <f t="shared" si="6"/>
        <v>16500</v>
      </c>
      <c r="C38" s="13">
        <f t="shared" si="0"/>
        <v>28033.844619874944</v>
      </c>
      <c r="D38" s="14">
        <f t="shared" si="1"/>
        <v>7.7871790610763734</v>
      </c>
      <c r="E38" s="11"/>
      <c r="H38" s="11"/>
      <c r="L38" s="29">
        <f t="shared" si="14"/>
        <v>7.1428571428571425E-2</v>
      </c>
      <c r="M38" s="427"/>
      <c r="N38" s="30">
        <f t="shared" si="15"/>
        <v>4.2041020222244714E-2</v>
      </c>
      <c r="O38" s="11"/>
      <c r="P38" s="31">
        <f t="shared" si="12"/>
        <v>0.3000000000000001</v>
      </c>
      <c r="Q38" s="32">
        <f t="shared" si="5"/>
        <v>74.700000000000031</v>
      </c>
      <c r="S38" s="17">
        <f t="shared" si="7"/>
        <v>90</v>
      </c>
      <c r="T38" s="18">
        <f t="shared" si="8"/>
        <v>32.222222222222221</v>
      </c>
    </row>
    <row r="39" spans="1:20">
      <c r="A39" s="11"/>
      <c r="B39" s="12">
        <f t="shared" si="6"/>
        <v>17000</v>
      </c>
      <c r="C39" s="13">
        <f t="shared" si="0"/>
        <v>28883.355062901457</v>
      </c>
      <c r="D39" s="14">
        <f t="shared" si="1"/>
        <v>8.0231541841392939</v>
      </c>
      <c r="E39" s="11"/>
      <c r="H39" s="11"/>
      <c r="L39" s="29">
        <f t="shared" si="14"/>
        <v>6.6666666666666666E-2</v>
      </c>
      <c r="M39" s="427"/>
      <c r="N39" s="30">
        <f t="shared" si="15"/>
        <v>3.9238285540761732E-2</v>
      </c>
      <c r="O39" s="11"/>
      <c r="S39" s="17">
        <f t="shared" si="7"/>
        <v>92</v>
      </c>
      <c r="T39" s="18">
        <f t="shared" si="8"/>
        <v>33.333333333333336</v>
      </c>
    </row>
    <row r="40" spans="1:20">
      <c r="A40" s="11"/>
      <c r="B40" s="12">
        <f t="shared" si="6"/>
        <v>17500</v>
      </c>
      <c r="C40" s="13">
        <f t="shared" si="0"/>
        <v>29732.865505927974</v>
      </c>
      <c r="D40" s="14">
        <f t="shared" si="1"/>
        <v>8.2591293072022154</v>
      </c>
      <c r="E40" s="11"/>
      <c r="H40" s="11"/>
      <c r="L40" s="29">
        <f t="shared" si="14"/>
        <v>6.25E-2</v>
      </c>
      <c r="M40" s="427"/>
      <c r="N40" s="30">
        <f t="shared" si="15"/>
        <v>3.6785892694464119E-2</v>
      </c>
      <c r="O40" s="11"/>
      <c r="S40" s="17">
        <f t="shared" si="7"/>
        <v>94</v>
      </c>
      <c r="T40" s="18">
        <f t="shared" si="8"/>
        <v>34.444444444444443</v>
      </c>
    </row>
    <row r="41" spans="1:20">
      <c r="A41" s="11"/>
      <c r="B41" s="12">
        <f t="shared" si="6"/>
        <v>18000</v>
      </c>
      <c r="C41" s="13">
        <f t="shared" si="0"/>
        <v>30582.375948954483</v>
      </c>
      <c r="D41" s="14">
        <f t="shared" si="1"/>
        <v>8.4951044302651333</v>
      </c>
      <c r="E41" s="11"/>
      <c r="H41" s="11"/>
      <c r="L41" s="29">
        <f t="shared" si="14"/>
        <v>5.8823529411764705E-2</v>
      </c>
      <c r="M41" s="427"/>
      <c r="N41" s="30">
        <f t="shared" si="15"/>
        <v>3.4622016653613287E-2</v>
      </c>
      <c r="O41" s="11"/>
      <c r="S41" s="17">
        <f t="shared" si="7"/>
        <v>96</v>
      </c>
      <c r="T41" s="18">
        <f t="shared" si="8"/>
        <v>35.555555555555557</v>
      </c>
    </row>
    <row r="42" spans="1:20">
      <c r="A42" s="11"/>
      <c r="B42" s="12">
        <f t="shared" si="6"/>
        <v>18500</v>
      </c>
      <c r="C42" s="13">
        <f t="shared" si="0"/>
        <v>31431.886391980999</v>
      </c>
      <c r="D42" s="14">
        <f t="shared" si="1"/>
        <v>8.7310795533280547</v>
      </c>
      <c r="E42" s="11"/>
      <c r="H42" s="11"/>
      <c r="L42" s="29">
        <f t="shared" si="14"/>
        <v>5.5555555555555552E-2</v>
      </c>
      <c r="M42" s="427"/>
      <c r="N42" s="30">
        <f t="shared" si="15"/>
        <v>3.2698571283968109E-2</v>
      </c>
      <c r="O42" s="11"/>
      <c r="S42" s="17">
        <f t="shared" si="7"/>
        <v>98</v>
      </c>
      <c r="T42" s="18">
        <f t="shared" si="8"/>
        <v>36.666666666666664</v>
      </c>
    </row>
    <row r="43" spans="1:20">
      <c r="A43" s="11"/>
      <c r="B43" s="12">
        <f t="shared" si="6"/>
        <v>19000</v>
      </c>
      <c r="C43" s="13">
        <f t="shared" si="0"/>
        <v>32281.396835007508</v>
      </c>
      <c r="D43" s="14">
        <f t="shared" si="1"/>
        <v>8.9670546763909744</v>
      </c>
      <c r="E43" s="11"/>
      <c r="H43" s="11"/>
      <c r="L43" s="29">
        <f t="shared" si="14"/>
        <v>5.2631578947368418E-2</v>
      </c>
      <c r="M43" s="427"/>
      <c r="N43" s="30">
        <f t="shared" si="15"/>
        <v>3.0977593847969786E-2</v>
      </c>
      <c r="O43" s="11"/>
      <c r="S43" s="17">
        <f t="shared" si="7"/>
        <v>100</v>
      </c>
      <c r="T43" s="18">
        <f t="shared" si="8"/>
        <v>37.777777777777779</v>
      </c>
    </row>
    <row r="44" spans="1:20">
      <c r="A44" s="11"/>
      <c r="B44" s="12">
        <f t="shared" si="6"/>
        <v>19500</v>
      </c>
      <c r="C44" s="13">
        <f t="shared" si="0"/>
        <v>33130.907278034021</v>
      </c>
      <c r="D44" s="14">
        <f t="shared" si="1"/>
        <v>9.2030297994538941</v>
      </c>
      <c r="E44" s="11"/>
      <c r="H44" s="11"/>
      <c r="L44" s="29">
        <f t="shared" si="14"/>
        <v>0.05</v>
      </c>
      <c r="M44" s="427"/>
      <c r="N44" s="30">
        <f t="shared" si="15"/>
        <v>2.9428714155571301E-2</v>
      </c>
      <c r="O44" s="11"/>
      <c r="S44" s="17">
        <f t="shared" si="7"/>
        <v>102</v>
      </c>
      <c r="T44" s="18">
        <f t="shared" si="8"/>
        <v>38.888888888888886</v>
      </c>
    </row>
    <row r="45" spans="1:20">
      <c r="A45" s="11"/>
      <c r="B45" s="12">
        <f t="shared" si="6"/>
        <v>20000</v>
      </c>
      <c r="C45" s="13">
        <f t="shared" si="0"/>
        <v>33980.417721060541</v>
      </c>
      <c r="D45" s="14">
        <f t="shared" si="1"/>
        <v>9.4390049225168173</v>
      </c>
      <c r="E45" s="11"/>
      <c r="H45" s="11"/>
      <c r="L45" s="29">
        <f t="shared" si="14"/>
        <v>4.7619047619047616E-2</v>
      </c>
      <c r="M45" s="427"/>
      <c r="N45" s="30">
        <f t="shared" si="15"/>
        <v>2.8027346814829809E-2</v>
      </c>
      <c r="O45" s="11"/>
      <c r="S45" s="17">
        <f t="shared" si="7"/>
        <v>104</v>
      </c>
      <c r="T45" s="18">
        <f t="shared" si="8"/>
        <v>40</v>
      </c>
    </row>
    <row r="46" spans="1:20">
      <c r="A46" s="11"/>
      <c r="B46" s="12">
        <f t="shared" si="6"/>
        <v>20500</v>
      </c>
      <c r="C46" s="13">
        <f t="shared" si="0"/>
        <v>34829.928164087047</v>
      </c>
      <c r="D46" s="14">
        <f t="shared" si="1"/>
        <v>9.6749800455797352</v>
      </c>
      <c r="E46" s="11"/>
      <c r="H46" s="11"/>
      <c r="L46" s="29">
        <f t="shared" si="14"/>
        <v>4.5454545454545456E-2</v>
      </c>
      <c r="M46" s="427"/>
      <c r="N46" s="30">
        <f t="shared" si="15"/>
        <v>2.6753376505064819E-2</v>
      </c>
      <c r="O46" s="11"/>
      <c r="S46" s="17">
        <f t="shared" si="7"/>
        <v>106</v>
      </c>
      <c r="T46" s="18">
        <f t="shared" si="8"/>
        <v>41.111111111111107</v>
      </c>
    </row>
    <row r="47" spans="1:20" ht="13.5" thickBot="1">
      <c r="A47" s="11"/>
      <c r="B47" s="12">
        <f t="shared" si="6"/>
        <v>21000</v>
      </c>
      <c r="C47" s="13">
        <f t="shared" si="0"/>
        <v>35679.438607113567</v>
      </c>
      <c r="D47" s="14">
        <f t="shared" si="1"/>
        <v>9.9109551686426567</v>
      </c>
      <c r="E47" s="11"/>
      <c r="H47" s="11"/>
      <c r="L47" s="29">
        <f t="shared" si="14"/>
        <v>4.3478260869565216E-2</v>
      </c>
      <c r="M47" s="427"/>
      <c r="N47" s="30">
        <f t="shared" si="15"/>
        <v>2.5590186222235911E-2</v>
      </c>
      <c r="O47" s="11"/>
      <c r="S47" s="24">
        <f t="shared" si="7"/>
        <v>108</v>
      </c>
      <c r="T47" s="25">
        <f t="shared" si="8"/>
        <v>42.222222222222221</v>
      </c>
    </row>
    <row r="48" spans="1:20">
      <c r="A48" s="11"/>
      <c r="B48" s="12"/>
      <c r="C48" s="13"/>
      <c r="D48" s="14"/>
      <c r="E48" s="11"/>
      <c r="H48" s="11"/>
      <c r="L48" s="29">
        <f t="shared" si="14"/>
        <v>4.1666666666666664E-2</v>
      </c>
      <c r="M48" s="427"/>
      <c r="N48" s="30">
        <f t="shared" si="15"/>
        <v>2.4523928462976078E-2</v>
      </c>
      <c r="O48" s="11"/>
      <c r="S48" s="26"/>
      <c r="T48" s="27"/>
    </row>
    <row r="49" spans="1:20">
      <c r="A49" s="11"/>
      <c r="B49" s="12">
        <v>50000</v>
      </c>
      <c r="C49" s="13">
        <f t="shared" ref="C49:C54" si="16">B49/(3.2808334)^3*60</f>
        <v>84951.044302651353</v>
      </c>
      <c r="D49" s="14">
        <f t="shared" ref="D49:D54" si="17">C49/3600</f>
        <v>23.597512306292042</v>
      </c>
      <c r="E49" s="11"/>
      <c r="H49" s="11"/>
      <c r="L49" s="29">
        <f t="shared" si="14"/>
        <v>0.04</v>
      </c>
      <c r="M49" s="427"/>
      <c r="N49" s="30">
        <f t="shared" si="15"/>
        <v>2.3542971324457033E-2</v>
      </c>
      <c r="O49" s="11"/>
      <c r="S49" s="26"/>
      <c r="T49" s="27"/>
    </row>
    <row r="50" spans="1:20">
      <c r="A50" s="11"/>
      <c r="B50" s="12">
        <f>B49+50000</f>
        <v>100000</v>
      </c>
      <c r="C50" s="13">
        <f t="shared" si="16"/>
        <v>169902.08860530271</v>
      </c>
      <c r="D50" s="14">
        <f t="shared" si="17"/>
        <v>47.195024612584085</v>
      </c>
      <c r="E50" s="11"/>
      <c r="H50" s="11"/>
      <c r="L50" s="29">
        <f t="shared" si="14"/>
        <v>3.8461538461538464E-2</v>
      </c>
      <c r="M50" s="427"/>
      <c r="N50" s="30">
        <f t="shared" si="15"/>
        <v>2.2637472427362533E-2</v>
      </c>
      <c r="O50" s="11"/>
      <c r="S50" s="26"/>
      <c r="T50" s="27"/>
    </row>
    <row r="51" spans="1:20">
      <c r="A51" s="11"/>
      <c r="B51" s="12">
        <f>B50+50000</f>
        <v>150000</v>
      </c>
      <c r="C51" s="13">
        <f t="shared" si="16"/>
        <v>254853.13290795404</v>
      </c>
      <c r="D51" s="14">
        <f t="shared" si="17"/>
        <v>70.792536918876124</v>
      </c>
      <c r="E51" s="11"/>
      <c r="H51" s="11"/>
      <c r="L51" s="29">
        <f t="shared" si="14"/>
        <v>3.7037037037037035E-2</v>
      </c>
      <c r="M51" s="427"/>
      <c r="N51" s="30">
        <f t="shared" si="15"/>
        <v>2.1799047522645401E-2</v>
      </c>
      <c r="O51" s="11"/>
      <c r="S51" s="26"/>
      <c r="T51" s="11"/>
    </row>
    <row r="52" spans="1:20">
      <c r="A52" s="11"/>
      <c r="B52" s="12">
        <f>B51+50000</f>
        <v>200000</v>
      </c>
      <c r="C52" s="13">
        <f t="shared" si="16"/>
        <v>339804.17721060541</v>
      </c>
      <c r="D52" s="14">
        <f t="shared" si="17"/>
        <v>94.39004922516817</v>
      </c>
      <c r="E52" s="11"/>
      <c r="H52" s="11"/>
      <c r="L52" s="29">
        <f t="shared" si="14"/>
        <v>3.5714285714285712E-2</v>
      </c>
      <c r="M52" s="427"/>
      <c r="N52" s="30">
        <f t="shared" si="15"/>
        <v>2.1020510111122357E-2</v>
      </c>
      <c r="O52" s="11"/>
      <c r="S52" s="26"/>
      <c r="T52" s="11"/>
    </row>
    <row r="53" spans="1:20">
      <c r="A53" s="11"/>
      <c r="B53" s="12">
        <f>B52+50000</f>
        <v>250000</v>
      </c>
      <c r="C53" s="13">
        <f t="shared" si="16"/>
        <v>424755.22151325672</v>
      </c>
      <c r="D53" s="14">
        <f t="shared" si="17"/>
        <v>117.9875615314602</v>
      </c>
      <c r="E53" s="11"/>
      <c r="H53" s="11"/>
      <c r="L53" s="29">
        <f t="shared" si="14"/>
        <v>3.4482758620689655E-2</v>
      </c>
      <c r="M53" s="427"/>
      <c r="N53" s="30">
        <f t="shared" si="15"/>
        <v>2.0295664934876757E-2</v>
      </c>
      <c r="O53" s="11"/>
      <c r="S53" s="11"/>
      <c r="T53" s="11"/>
    </row>
    <row r="54" spans="1:20" ht="13.5" thickBot="1">
      <c r="A54" s="11"/>
      <c r="B54" s="22">
        <f>B53+50000</f>
        <v>300000</v>
      </c>
      <c r="C54" s="33">
        <f t="shared" si="16"/>
        <v>509706.26581590809</v>
      </c>
      <c r="D54" s="34">
        <f t="shared" si="17"/>
        <v>141.58507383775225</v>
      </c>
      <c r="E54" s="11"/>
      <c r="H54" s="11"/>
      <c r="L54" s="35">
        <f t="shared" si="14"/>
        <v>3.3333333333333333E-2</v>
      </c>
      <c r="M54" s="428"/>
      <c r="N54" s="36">
        <f t="shared" si="15"/>
        <v>1.9619142770380866E-2</v>
      </c>
      <c r="O54" s="11"/>
      <c r="S54" s="11"/>
      <c r="T54" s="11"/>
    </row>
    <row r="55" spans="1:20">
      <c r="A55" s="11"/>
      <c r="E55" s="11"/>
      <c r="F55" s="37"/>
      <c r="G55" s="38"/>
      <c r="H55" s="11"/>
      <c r="I55" s="11"/>
      <c r="J55" s="11"/>
      <c r="K55" s="11"/>
      <c r="P55" s="11"/>
      <c r="Q55" s="11"/>
    </row>
    <row r="56" spans="1:20" hidden="1">
      <c r="A56" s="11"/>
      <c r="E56" s="11"/>
      <c r="F56" s="37"/>
      <c r="G56" s="38"/>
      <c r="H56" s="11"/>
      <c r="I56" s="11"/>
      <c r="J56" s="11"/>
      <c r="K56" s="11"/>
      <c r="P56" s="11"/>
      <c r="Q56" s="11"/>
    </row>
    <row r="57" spans="1:20" hidden="1">
      <c r="A57" s="11"/>
      <c r="E57" s="11"/>
      <c r="F57" s="37"/>
      <c r="G57" s="38"/>
      <c r="H57" s="11"/>
      <c r="I57" s="11"/>
      <c r="J57" s="11"/>
      <c r="K57" s="11"/>
      <c r="P57" s="11"/>
      <c r="Q57" s="11"/>
    </row>
    <row r="58" spans="1:20" hidden="1">
      <c r="A58" s="11"/>
      <c r="E58" s="11"/>
      <c r="F58" s="37"/>
      <c r="G58" s="38"/>
      <c r="H58" s="11"/>
      <c r="I58" s="11"/>
      <c r="J58" s="11"/>
      <c r="K58" s="11"/>
      <c r="P58" s="11"/>
      <c r="Q58" s="11"/>
    </row>
    <row r="59" spans="1:20" hidden="1">
      <c r="A59" s="11"/>
      <c r="E59" s="11"/>
      <c r="F59" s="37"/>
      <c r="G59" s="38"/>
      <c r="H59" s="11"/>
      <c r="I59" s="11"/>
      <c r="J59" s="11"/>
      <c r="K59" s="11"/>
      <c r="P59" s="11"/>
      <c r="Q59" s="11"/>
    </row>
    <row r="60" spans="1:20" hidden="1">
      <c r="A60" s="11"/>
      <c r="E60" s="11"/>
      <c r="F60" s="37"/>
      <c r="G60" s="38"/>
      <c r="H60" s="11"/>
      <c r="I60" s="11"/>
      <c r="J60" s="11"/>
      <c r="K60" s="11"/>
      <c r="P60" s="11"/>
      <c r="Q60" s="11"/>
    </row>
    <row r="61" spans="1:20" hidden="1">
      <c r="A61" s="11"/>
      <c r="E61" s="11"/>
      <c r="F61" s="37"/>
      <c r="G61" s="38"/>
      <c r="H61" s="11"/>
      <c r="I61" s="11"/>
      <c r="J61" s="11"/>
      <c r="K61" s="11"/>
      <c r="P61" s="11"/>
      <c r="Q61" s="11"/>
    </row>
    <row r="62" spans="1:20" hidden="1">
      <c r="F62" s="37"/>
      <c r="G62" s="38"/>
    </row>
  </sheetData>
  <sheetProtection sheet="1" objects="1" scenarios="1" selectLockedCells="1"/>
  <mergeCells count="7">
    <mergeCell ref="P5:Q5"/>
    <mergeCell ref="S5:T5"/>
    <mergeCell ref="L30:N30"/>
    <mergeCell ref="B5:D5"/>
    <mergeCell ref="F5:G5"/>
    <mergeCell ref="I5:J5"/>
    <mergeCell ref="L5:N5"/>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showGridLines="0" showRowColHeaders="0" workbookViewId="0">
      <selection activeCell="B7" sqref="B7"/>
    </sheetView>
  </sheetViews>
  <sheetFormatPr defaultColWidth="0" defaultRowHeight="12.75" zeroHeight="1"/>
  <cols>
    <col min="1" max="1" width="2.85546875" style="7" customWidth="1"/>
    <col min="2" max="2" width="9.140625" style="7" customWidth="1"/>
    <col min="3" max="3" width="11.5703125" style="7" bestFit="1" customWidth="1"/>
    <col min="4" max="4" width="2.85546875" style="7" customWidth="1"/>
    <col min="5" max="5" width="11.5703125" style="7" bestFit="1" customWidth="1"/>
    <col min="6" max="6" width="10.5703125" style="7" customWidth="1"/>
    <col min="7" max="7" width="2.85546875" style="7" customWidth="1"/>
    <col min="8" max="8" width="9.140625" style="7" customWidth="1"/>
    <col min="9" max="9" width="8" style="7" bestFit="1" customWidth="1"/>
    <col min="10" max="10" width="2.85546875" style="7" customWidth="1"/>
    <col min="11" max="11" width="11.5703125" style="7" customWidth="1"/>
    <col min="12" max="12" width="14.42578125" style="7" customWidth="1"/>
    <col min="13" max="13" width="2.85546875" style="7" customWidth="1"/>
    <col min="14" max="14" width="13.85546875" style="7" customWidth="1"/>
    <col min="15" max="15" width="12.85546875" style="7" customWidth="1"/>
    <col min="16" max="16" width="2.85546875" style="7" customWidth="1"/>
    <col min="17" max="17" width="11.5703125" style="7" bestFit="1" customWidth="1"/>
    <col min="18" max="18" width="7.5703125" style="7" bestFit="1" customWidth="1"/>
    <col min="19" max="19" width="2.85546875" style="7" customWidth="1"/>
    <col min="20" max="20" width="11.5703125" style="7" bestFit="1" customWidth="1"/>
    <col min="21" max="21" width="10.85546875" style="7" customWidth="1"/>
    <col min="22" max="22" width="2.85546875" style="7" customWidth="1"/>
    <col min="23" max="16384" width="9.140625" style="7" hidden="1"/>
  </cols>
  <sheetData>
    <row r="1" spans="1:22">
      <c r="A1" s="334"/>
      <c r="B1" s="334"/>
      <c r="C1" s="334"/>
      <c r="D1" s="334"/>
      <c r="E1" s="334"/>
      <c r="F1" s="334"/>
      <c r="G1" s="334"/>
      <c r="H1" s="334"/>
      <c r="I1" s="334"/>
      <c r="J1" s="334"/>
      <c r="K1" s="334"/>
      <c r="L1" s="334"/>
      <c r="M1" s="334"/>
      <c r="N1" s="334"/>
      <c r="O1" s="334"/>
      <c r="P1" s="334"/>
      <c r="Q1" s="334"/>
      <c r="R1" s="334"/>
      <c r="S1" s="334"/>
      <c r="T1" s="334"/>
      <c r="U1" s="334"/>
      <c r="V1" s="334"/>
    </row>
    <row r="2" spans="1:22">
      <c r="A2" s="334"/>
      <c r="B2" s="333" t="s">
        <v>176</v>
      </c>
      <c r="C2" s="334"/>
      <c r="D2" s="334"/>
      <c r="E2" s="334"/>
      <c r="F2" s="334"/>
      <c r="G2" s="334"/>
      <c r="H2" s="334"/>
      <c r="I2" s="334"/>
      <c r="J2" s="334"/>
      <c r="K2" s="334"/>
      <c r="L2" s="334"/>
      <c r="M2" s="334"/>
      <c r="N2" s="334"/>
      <c r="O2" s="334"/>
      <c r="P2" s="334"/>
      <c r="Q2" s="334"/>
      <c r="R2" s="334"/>
      <c r="S2" s="334"/>
      <c r="T2" s="334"/>
      <c r="U2" s="334"/>
      <c r="V2" s="334"/>
    </row>
    <row r="3" spans="1:22">
      <c r="A3" s="334"/>
      <c r="B3" s="333"/>
      <c r="C3" s="334"/>
      <c r="D3" s="334"/>
      <c r="E3" s="334"/>
      <c r="F3" s="334"/>
      <c r="G3" s="334"/>
      <c r="H3" s="334"/>
      <c r="I3" s="334"/>
      <c r="J3" s="334"/>
      <c r="K3" s="334"/>
      <c r="L3" s="334"/>
      <c r="M3" s="334"/>
      <c r="N3" s="334"/>
      <c r="O3" s="334"/>
      <c r="P3" s="334"/>
      <c r="Q3" s="334"/>
      <c r="R3" s="334"/>
      <c r="S3" s="334"/>
      <c r="T3" s="334"/>
      <c r="U3" s="334"/>
      <c r="V3" s="334"/>
    </row>
    <row r="4" spans="1:22" ht="13.5" thickBot="1"/>
    <row r="5" spans="1:22" ht="40.5" customHeight="1" thickBot="1">
      <c r="A5" s="39"/>
      <c r="B5" s="604" t="s">
        <v>106</v>
      </c>
      <c r="C5" s="605"/>
      <c r="D5" s="39"/>
      <c r="E5" s="604" t="s">
        <v>88</v>
      </c>
      <c r="F5" s="605"/>
      <c r="G5" s="39"/>
      <c r="H5" s="604" t="s">
        <v>89</v>
      </c>
      <c r="I5" s="605"/>
      <c r="J5" s="39"/>
      <c r="K5" s="604" t="s">
        <v>5</v>
      </c>
      <c r="L5" s="605"/>
      <c r="M5" s="39"/>
      <c r="N5" s="604" t="s">
        <v>5</v>
      </c>
      <c r="O5" s="605"/>
      <c r="P5" s="39"/>
      <c r="Q5" s="604" t="s">
        <v>1</v>
      </c>
      <c r="R5" s="605"/>
      <c r="T5" s="604" t="s">
        <v>90</v>
      </c>
      <c r="U5" s="605"/>
    </row>
    <row r="6" spans="1:22" s="41" customFormat="1" ht="27.75" thickTop="1">
      <c r="A6" s="40"/>
      <c r="B6" s="409" t="s">
        <v>92</v>
      </c>
      <c r="C6" s="410" t="s">
        <v>91</v>
      </c>
      <c r="D6" s="40"/>
      <c r="E6" s="409" t="s">
        <v>95</v>
      </c>
      <c r="F6" s="410" t="s">
        <v>94</v>
      </c>
      <c r="G6" s="40"/>
      <c r="H6" s="411" t="s">
        <v>97</v>
      </c>
      <c r="I6" s="412" t="s">
        <v>96</v>
      </c>
      <c r="J6" s="40"/>
      <c r="K6" s="409" t="s">
        <v>99</v>
      </c>
      <c r="L6" s="410" t="s">
        <v>98</v>
      </c>
      <c r="M6" s="40"/>
      <c r="N6" s="409" t="s">
        <v>105</v>
      </c>
      <c r="O6" s="410" t="s">
        <v>104</v>
      </c>
      <c r="P6" s="40"/>
      <c r="Q6" s="409" t="s">
        <v>101</v>
      </c>
      <c r="R6" s="410" t="s">
        <v>100</v>
      </c>
      <c r="T6" s="409" t="s">
        <v>103</v>
      </c>
      <c r="U6" s="410" t="s">
        <v>102</v>
      </c>
    </row>
    <row r="7" spans="1:22" s="42" customFormat="1">
      <c r="B7" s="431">
        <v>1</v>
      </c>
      <c r="C7" s="432">
        <f t="shared" ref="C7:C40" si="0">B7*(3.2808334)^3/60</f>
        <v>0.5885742831114259</v>
      </c>
      <c r="E7" s="431">
        <v>1</v>
      </c>
      <c r="F7" s="433">
        <f>E7*3.2808334*60</f>
        <v>196.85000400000001</v>
      </c>
      <c r="H7" s="434">
        <v>1</v>
      </c>
      <c r="I7" s="435">
        <f t="shared" ref="I7:I23" si="1">H7*3.28083</f>
        <v>3.2808299999999999</v>
      </c>
      <c r="K7" s="431">
        <v>1</v>
      </c>
      <c r="L7" s="435">
        <f>K7*(3.2808334)^3/60</f>
        <v>0.5885742831114259</v>
      </c>
      <c r="N7" s="431">
        <v>1</v>
      </c>
      <c r="O7" s="436">
        <f>(N7/(3.2808334)^3*60)</f>
        <v>1.6990208860530269</v>
      </c>
      <c r="P7" s="43"/>
      <c r="Q7" s="431">
        <v>1</v>
      </c>
      <c r="R7" s="437">
        <f>Q7/249</f>
        <v>4.0160642570281121E-3</v>
      </c>
      <c r="S7" s="430"/>
      <c r="T7" s="431">
        <v>1</v>
      </c>
      <c r="U7" s="438">
        <f>T7/5*9+32</f>
        <v>33.799999999999997</v>
      </c>
    </row>
    <row r="8" spans="1:22">
      <c r="B8" s="44">
        <v>1000</v>
      </c>
      <c r="C8" s="45">
        <f t="shared" si="0"/>
        <v>588.57428311142587</v>
      </c>
      <c r="E8" s="44">
        <v>0.25</v>
      </c>
      <c r="F8" s="46">
        <f>E8*3.2808334*60</f>
        <v>49.212501000000003</v>
      </c>
      <c r="H8" s="44">
        <v>5</v>
      </c>
      <c r="I8" s="47">
        <f t="shared" si="1"/>
        <v>16.404150000000001</v>
      </c>
      <c r="K8" s="44">
        <v>10</v>
      </c>
      <c r="L8" s="47">
        <f>K8*(3.2808334)^3/60</f>
        <v>5.8857428311142597</v>
      </c>
      <c r="N8" s="48">
        <f>1/K8</f>
        <v>0.1</v>
      </c>
      <c r="O8" s="335">
        <f t="shared" ref="O8:O38" si="2">(N8/(3.2808334)^3*60)</f>
        <v>0.1699020886053027</v>
      </c>
      <c r="P8" s="49"/>
      <c r="Q8" s="44">
        <v>2</v>
      </c>
      <c r="R8" s="50">
        <f t="shared" ref="R8:R42" si="3">Q8/249</f>
        <v>8.0321285140562242E-3</v>
      </c>
      <c r="T8" s="44">
        <v>0</v>
      </c>
      <c r="U8" s="46">
        <f>(T8*9/5)+32</f>
        <v>32</v>
      </c>
    </row>
    <row r="9" spans="1:22">
      <c r="B9" s="44">
        <f>B8+4000</f>
        <v>5000</v>
      </c>
      <c r="C9" s="45">
        <f t="shared" si="0"/>
        <v>2942.8714155571297</v>
      </c>
      <c r="E9" s="44">
        <f>E8+0.25</f>
        <v>0.5</v>
      </c>
      <c r="F9" s="46">
        <f t="shared" ref="F9:F26" si="4">E9*3.2808334*60</f>
        <v>98.425002000000006</v>
      </c>
      <c r="H9" s="44">
        <f t="shared" ref="H9:H23" si="5">H8+1</f>
        <v>6</v>
      </c>
      <c r="I9" s="47">
        <f t="shared" si="1"/>
        <v>19.684979999999999</v>
      </c>
      <c r="K9" s="44">
        <f>K8+1</f>
        <v>11</v>
      </c>
      <c r="L9" s="47">
        <f t="shared" ref="L9:L51" si="6">K9*(3.2808334)^3/60</f>
        <v>6.474317114225685</v>
      </c>
      <c r="N9" s="48">
        <f t="shared" ref="N9:N38" si="7">1/K9</f>
        <v>9.0909090909090912E-2</v>
      </c>
      <c r="O9" s="335">
        <f t="shared" si="2"/>
        <v>0.15445644418663881</v>
      </c>
      <c r="P9" s="49"/>
      <c r="Q9" s="44">
        <f>Q8+2</f>
        <v>4</v>
      </c>
      <c r="R9" s="50">
        <f t="shared" si="3"/>
        <v>1.6064257028112448E-2</v>
      </c>
      <c r="T9" s="44">
        <f>T8+1</f>
        <v>1</v>
      </c>
      <c r="U9" s="46">
        <f t="shared" ref="U9:U50" si="8">(T9*9/5)+32</f>
        <v>33.799999999999997</v>
      </c>
    </row>
    <row r="10" spans="1:22">
      <c r="B10" s="44">
        <f>B9+5000</f>
        <v>10000</v>
      </c>
      <c r="C10" s="45">
        <f t="shared" si="0"/>
        <v>5885.7428311142594</v>
      </c>
      <c r="E10" s="44">
        <f t="shared" ref="E10:E26" si="9">E9+0.25</f>
        <v>0.75</v>
      </c>
      <c r="F10" s="46">
        <f t="shared" si="4"/>
        <v>147.63750300000001</v>
      </c>
      <c r="H10" s="44">
        <f t="shared" si="5"/>
        <v>7</v>
      </c>
      <c r="I10" s="47">
        <f t="shared" si="1"/>
        <v>22.965809999999998</v>
      </c>
      <c r="K10" s="44">
        <f t="shared" ref="K10:K51" si="10">K9+1</f>
        <v>12</v>
      </c>
      <c r="L10" s="47">
        <f t="shared" si="6"/>
        <v>7.0628913973371112</v>
      </c>
      <c r="N10" s="48">
        <f t="shared" si="7"/>
        <v>8.3333333333333329E-2</v>
      </c>
      <c r="O10" s="335">
        <f t="shared" si="2"/>
        <v>0.14158507383775223</v>
      </c>
      <c r="P10" s="49"/>
      <c r="Q10" s="44">
        <f t="shared" ref="Q10:Q42" si="11">Q9+2</f>
        <v>6</v>
      </c>
      <c r="R10" s="50">
        <f t="shared" si="3"/>
        <v>2.4096385542168676E-2</v>
      </c>
      <c r="T10" s="44">
        <f t="shared" ref="T10:T50" si="12">T9+1</f>
        <v>2</v>
      </c>
      <c r="U10" s="46">
        <f t="shared" si="8"/>
        <v>35.6</v>
      </c>
    </row>
    <row r="11" spans="1:22">
      <c r="B11" s="44">
        <f t="shared" ref="B11:B40" si="13">B10+1000</f>
        <v>11000</v>
      </c>
      <c r="C11" s="45">
        <f t="shared" si="0"/>
        <v>6474.3171142256861</v>
      </c>
      <c r="E11" s="44">
        <f t="shared" si="9"/>
        <v>1</v>
      </c>
      <c r="F11" s="46">
        <f t="shared" si="4"/>
        <v>196.85000400000001</v>
      </c>
      <c r="H11" s="44">
        <f t="shared" si="5"/>
        <v>8</v>
      </c>
      <c r="I11" s="47">
        <f t="shared" si="1"/>
        <v>26.246639999999999</v>
      </c>
      <c r="K11" s="44">
        <f t="shared" si="10"/>
        <v>13</v>
      </c>
      <c r="L11" s="47">
        <f t="shared" si="6"/>
        <v>7.6514656804485375</v>
      </c>
      <c r="N11" s="48">
        <f t="shared" si="7"/>
        <v>7.6923076923076927E-2</v>
      </c>
      <c r="O11" s="335">
        <f t="shared" si="2"/>
        <v>0.1306939143117713</v>
      </c>
      <c r="P11" s="49"/>
      <c r="Q11" s="44">
        <f t="shared" si="11"/>
        <v>8</v>
      </c>
      <c r="R11" s="50">
        <f t="shared" si="3"/>
        <v>3.2128514056224897E-2</v>
      </c>
      <c r="T11" s="44">
        <f t="shared" si="12"/>
        <v>3</v>
      </c>
      <c r="U11" s="46">
        <f t="shared" si="8"/>
        <v>37.4</v>
      </c>
    </row>
    <row r="12" spans="1:22">
      <c r="B12" s="44">
        <f t="shared" si="13"/>
        <v>12000</v>
      </c>
      <c r="C12" s="45">
        <f t="shared" si="0"/>
        <v>7062.8913973371109</v>
      </c>
      <c r="E12" s="44">
        <f t="shared" si="9"/>
        <v>1.25</v>
      </c>
      <c r="F12" s="46">
        <f t="shared" si="4"/>
        <v>246.06250500000002</v>
      </c>
      <c r="H12" s="44">
        <f t="shared" si="5"/>
        <v>9</v>
      </c>
      <c r="I12" s="47">
        <f t="shared" si="1"/>
        <v>29.527470000000001</v>
      </c>
      <c r="K12" s="44">
        <f t="shared" si="10"/>
        <v>14</v>
      </c>
      <c r="L12" s="47">
        <f t="shared" si="6"/>
        <v>8.2400399635599619</v>
      </c>
      <c r="N12" s="48">
        <f t="shared" si="7"/>
        <v>7.1428571428571425E-2</v>
      </c>
      <c r="O12" s="335">
        <f t="shared" si="2"/>
        <v>0.12135863471807334</v>
      </c>
      <c r="P12" s="49"/>
      <c r="Q12" s="44">
        <f t="shared" si="11"/>
        <v>10</v>
      </c>
      <c r="R12" s="50">
        <f t="shared" si="3"/>
        <v>4.0160642570281124E-2</v>
      </c>
      <c r="T12" s="44">
        <f t="shared" si="12"/>
        <v>4</v>
      </c>
      <c r="U12" s="46">
        <f t="shared" si="8"/>
        <v>39.200000000000003</v>
      </c>
    </row>
    <row r="13" spans="1:22">
      <c r="B13" s="44">
        <f t="shared" si="13"/>
        <v>13000</v>
      </c>
      <c r="C13" s="45">
        <f t="shared" si="0"/>
        <v>7651.4656804485376</v>
      </c>
      <c r="E13" s="44">
        <f t="shared" si="9"/>
        <v>1.5</v>
      </c>
      <c r="F13" s="46">
        <f t="shared" si="4"/>
        <v>295.27500600000002</v>
      </c>
      <c r="H13" s="44">
        <f t="shared" si="5"/>
        <v>10</v>
      </c>
      <c r="I13" s="47">
        <f t="shared" si="1"/>
        <v>32.808300000000003</v>
      </c>
      <c r="K13" s="44">
        <f t="shared" si="10"/>
        <v>15</v>
      </c>
      <c r="L13" s="47">
        <f t="shared" si="6"/>
        <v>8.8286142466713891</v>
      </c>
      <c r="N13" s="48">
        <f t="shared" si="7"/>
        <v>6.6666666666666666E-2</v>
      </c>
      <c r="O13" s="335">
        <f t="shared" si="2"/>
        <v>0.11326805907020179</v>
      </c>
      <c r="P13" s="49"/>
      <c r="Q13" s="44">
        <f t="shared" si="11"/>
        <v>12</v>
      </c>
      <c r="R13" s="50">
        <f t="shared" si="3"/>
        <v>4.8192771084337352E-2</v>
      </c>
      <c r="T13" s="44">
        <f t="shared" si="12"/>
        <v>5</v>
      </c>
      <c r="U13" s="46">
        <f t="shared" si="8"/>
        <v>41</v>
      </c>
    </row>
    <row r="14" spans="1:22">
      <c r="B14" s="44">
        <f t="shared" si="13"/>
        <v>14000</v>
      </c>
      <c r="C14" s="45">
        <f t="shared" si="0"/>
        <v>8240.0399635599642</v>
      </c>
      <c r="E14" s="44">
        <f t="shared" si="9"/>
        <v>1.75</v>
      </c>
      <c r="F14" s="46">
        <f t="shared" si="4"/>
        <v>344.48750700000005</v>
      </c>
      <c r="H14" s="44">
        <f t="shared" si="5"/>
        <v>11</v>
      </c>
      <c r="I14" s="47">
        <f t="shared" si="1"/>
        <v>36.089129999999997</v>
      </c>
      <c r="K14" s="44">
        <f t="shared" si="10"/>
        <v>16</v>
      </c>
      <c r="L14" s="47">
        <f t="shared" si="6"/>
        <v>9.4171885297828144</v>
      </c>
      <c r="N14" s="48">
        <f t="shared" si="7"/>
        <v>6.25E-2</v>
      </c>
      <c r="O14" s="335">
        <f t="shared" si="2"/>
        <v>0.10618880537831418</v>
      </c>
      <c r="P14" s="49"/>
      <c r="Q14" s="44">
        <f t="shared" si="11"/>
        <v>14</v>
      </c>
      <c r="R14" s="50">
        <f t="shared" si="3"/>
        <v>5.6224899598393573E-2</v>
      </c>
      <c r="T14" s="44">
        <f t="shared" si="12"/>
        <v>6</v>
      </c>
      <c r="U14" s="46">
        <f t="shared" si="8"/>
        <v>42.8</v>
      </c>
    </row>
    <row r="15" spans="1:22">
      <c r="B15" s="44">
        <f t="shared" si="13"/>
        <v>15000</v>
      </c>
      <c r="C15" s="45">
        <f t="shared" si="0"/>
        <v>8828.6142466713882</v>
      </c>
      <c r="E15" s="44">
        <f t="shared" si="9"/>
        <v>2</v>
      </c>
      <c r="F15" s="46">
        <f t="shared" si="4"/>
        <v>393.70000800000003</v>
      </c>
      <c r="H15" s="44">
        <f t="shared" si="5"/>
        <v>12</v>
      </c>
      <c r="I15" s="47">
        <f t="shared" si="1"/>
        <v>39.369959999999999</v>
      </c>
      <c r="K15" s="44">
        <f t="shared" si="10"/>
        <v>17</v>
      </c>
      <c r="L15" s="47">
        <f t="shared" si="6"/>
        <v>10.00576281289424</v>
      </c>
      <c r="N15" s="48">
        <f t="shared" si="7"/>
        <v>5.8823529411764705E-2</v>
      </c>
      <c r="O15" s="335">
        <f t="shared" si="2"/>
        <v>9.9942405061942768E-2</v>
      </c>
      <c r="P15" s="49"/>
      <c r="Q15" s="44">
        <f t="shared" si="11"/>
        <v>16</v>
      </c>
      <c r="R15" s="50">
        <f t="shared" si="3"/>
        <v>6.4257028112449793E-2</v>
      </c>
      <c r="T15" s="44">
        <f t="shared" si="12"/>
        <v>7</v>
      </c>
      <c r="U15" s="46">
        <f t="shared" si="8"/>
        <v>44.6</v>
      </c>
    </row>
    <row r="16" spans="1:22">
      <c r="B16" s="44">
        <f t="shared" si="13"/>
        <v>16000</v>
      </c>
      <c r="C16" s="45">
        <f t="shared" si="0"/>
        <v>9417.1885297828139</v>
      </c>
      <c r="E16" s="44">
        <f t="shared" si="9"/>
        <v>2.25</v>
      </c>
      <c r="F16" s="46">
        <f t="shared" si="4"/>
        <v>442.912509</v>
      </c>
      <c r="H16" s="44">
        <f t="shared" si="5"/>
        <v>13</v>
      </c>
      <c r="I16" s="47">
        <f t="shared" si="1"/>
        <v>42.650790000000001</v>
      </c>
      <c r="K16" s="44">
        <f t="shared" si="10"/>
        <v>18</v>
      </c>
      <c r="L16" s="47">
        <f t="shared" si="6"/>
        <v>10.594337096005667</v>
      </c>
      <c r="N16" s="48">
        <f t="shared" si="7"/>
        <v>5.5555555555555552E-2</v>
      </c>
      <c r="O16" s="335">
        <f t="shared" si="2"/>
        <v>9.4390049225168152E-2</v>
      </c>
      <c r="P16" s="49"/>
      <c r="Q16" s="44">
        <f t="shared" si="11"/>
        <v>18</v>
      </c>
      <c r="R16" s="50">
        <f t="shared" si="3"/>
        <v>7.2289156626506021E-2</v>
      </c>
      <c r="T16" s="44">
        <f t="shared" si="12"/>
        <v>8</v>
      </c>
      <c r="U16" s="46">
        <f t="shared" si="8"/>
        <v>46.4</v>
      </c>
    </row>
    <row r="17" spans="2:21">
      <c r="B17" s="44">
        <f t="shared" si="13"/>
        <v>17000</v>
      </c>
      <c r="C17" s="45">
        <f t="shared" si="0"/>
        <v>10005.762812894242</v>
      </c>
      <c r="E17" s="44">
        <f t="shared" si="9"/>
        <v>2.5</v>
      </c>
      <c r="F17" s="46">
        <f t="shared" si="4"/>
        <v>492.12501000000003</v>
      </c>
      <c r="H17" s="44">
        <f t="shared" si="5"/>
        <v>14</v>
      </c>
      <c r="I17" s="47">
        <f t="shared" si="1"/>
        <v>45.931619999999995</v>
      </c>
      <c r="K17" s="44">
        <f t="shared" si="10"/>
        <v>19</v>
      </c>
      <c r="L17" s="47">
        <f t="shared" si="6"/>
        <v>11.182911379117092</v>
      </c>
      <c r="N17" s="48">
        <f t="shared" si="7"/>
        <v>5.2631578947368418E-2</v>
      </c>
      <c r="O17" s="335">
        <f t="shared" si="2"/>
        <v>8.9422151897527738E-2</v>
      </c>
      <c r="P17" s="49"/>
      <c r="Q17" s="44">
        <f t="shared" si="11"/>
        <v>20</v>
      </c>
      <c r="R17" s="50">
        <f t="shared" si="3"/>
        <v>8.0321285140562249E-2</v>
      </c>
      <c r="T17" s="44">
        <f t="shared" si="12"/>
        <v>9</v>
      </c>
      <c r="U17" s="46">
        <f t="shared" si="8"/>
        <v>48.2</v>
      </c>
    </row>
    <row r="18" spans="2:21">
      <c r="B18" s="44">
        <f t="shared" si="13"/>
        <v>18000</v>
      </c>
      <c r="C18" s="45">
        <f t="shared" si="0"/>
        <v>10594.337096005667</v>
      </c>
      <c r="E18" s="44">
        <f t="shared" si="9"/>
        <v>2.75</v>
      </c>
      <c r="F18" s="46">
        <f t="shared" si="4"/>
        <v>541.33751100000006</v>
      </c>
      <c r="H18" s="44">
        <f t="shared" si="5"/>
        <v>15</v>
      </c>
      <c r="I18" s="47">
        <f t="shared" si="1"/>
        <v>49.212449999999997</v>
      </c>
      <c r="K18" s="44">
        <f t="shared" si="10"/>
        <v>20</v>
      </c>
      <c r="L18" s="47">
        <f t="shared" si="6"/>
        <v>11.771485662228519</v>
      </c>
      <c r="N18" s="48">
        <f t="shared" si="7"/>
        <v>0.05</v>
      </c>
      <c r="O18" s="335">
        <f t="shared" si="2"/>
        <v>8.4951044302651352E-2</v>
      </c>
      <c r="P18" s="49"/>
      <c r="Q18" s="44">
        <f t="shared" si="11"/>
        <v>22</v>
      </c>
      <c r="R18" s="50">
        <f t="shared" si="3"/>
        <v>8.8353413654618476E-2</v>
      </c>
      <c r="T18" s="44">
        <f t="shared" si="12"/>
        <v>10</v>
      </c>
      <c r="U18" s="46">
        <f t="shared" si="8"/>
        <v>50</v>
      </c>
    </row>
    <row r="19" spans="2:21">
      <c r="B19" s="44">
        <f t="shared" si="13"/>
        <v>19000</v>
      </c>
      <c r="C19" s="45">
        <f t="shared" si="0"/>
        <v>11182.911379117093</v>
      </c>
      <c r="E19" s="44">
        <f t="shared" si="9"/>
        <v>3</v>
      </c>
      <c r="F19" s="46">
        <f t="shared" si="4"/>
        <v>590.55001200000004</v>
      </c>
      <c r="H19" s="44">
        <f t="shared" si="5"/>
        <v>16</v>
      </c>
      <c r="I19" s="47">
        <f t="shared" si="1"/>
        <v>52.493279999999999</v>
      </c>
      <c r="K19" s="44">
        <f t="shared" si="10"/>
        <v>21</v>
      </c>
      <c r="L19" s="47">
        <f t="shared" si="6"/>
        <v>12.360059945339945</v>
      </c>
      <c r="N19" s="48">
        <f t="shared" si="7"/>
        <v>4.7619047619047616E-2</v>
      </c>
      <c r="O19" s="335">
        <f t="shared" si="2"/>
        <v>8.0905756478715563E-2</v>
      </c>
      <c r="P19" s="49"/>
      <c r="Q19" s="44">
        <f t="shared" si="11"/>
        <v>24</v>
      </c>
      <c r="R19" s="50">
        <f t="shared" si="3"/>
        <v>9.6385542168674704E-2</v>
      </c>
      <c r="T19" s="44">
        <f t="shared" si="12"/>
        <v>11</v>
      </c>
      <c r="U19" s="46">
        <f t="shared" si="8"/>
        <v>51.8</v>
      </c>
    </row>
    <row r="20" spans="2:21">
      <c r="B20" s="44">
        <f t="shared" si="13"/>
        <v>20000</v>
      </c>
      <c r="C20" s="45">
        <f t="shared" si="0"/>
        <v>11771.485662228519</v>
      </c>
      <c r="E20" s="44">
        <f t="shared" si="9"/>
        <v>3.25</v>
      </c>
      <c r="F20" s="46">
        <f t="shared" si="4"/>
        <v>639.76251300000001</v>
      </c>
      <c r="H20" s="44">
        <f t="shared" si="5"/>
        <v>17</v>
      </c>
      <c r="I20" s="47">
        <f t="shared" si="1"/>
        <v>55.77411</v>
      </c>
      <c r="K20" s="44">
        <f t="shared" si="10"/>
        <v>22</v>
      </c>
      <c r="L20" s="47">
        <f t="shared" si="6"/>
        <v>12.94863422845137</v>
      </c>
      <c r="N20" s="48">
        <f t="shared" si="7"/>
        <v>4.5454545454545456E-2</v>
      </c>
      <c r="O20" s="335">
        <f t="shared" si="2"/>
        <v>7.7228222093319407E-2</v>
      </c>
      <c r="P20" s="49"/>
      <c r="Q20" s="44">
        <f t="shared" si="11"/>
        <v>26</v>
      </c>
      <c r="R20" s="50">
        <f t="shared" si="3"/>
        <v>0.10441767068273092</v>
      </c>
      <c r="T20" s="44">
        <f t="shared" si="12"/>
        <v>12</v>
      </c>
      <c r="U20" s="46">
        <f t="shared" si="8"/>
        <v>53.6</v>
      </c>
    </row>
    <row r="21" spans="2:21">
      <c r="B21" s="44">
        <f t="shared" si="13"/>
        <v>21000</v>
      </c>
      <c r="C21" s="45">
        <f t="shared" si="0"/>
        <v>12360.059945339945</v>
      </c>
      <c r="E21" s="44">
        <f t="shared" si="9"/>
        <v>3.5</v>
      </c>
      <c r="F21" s="46">
        <f t="shared" si="4"/>
        <v>688.9750140000001</v>
      </c>
      <c r="H21" s="44">
        <f t="shared" si="5"/>
        <v>18</v>
      </c>
      <c r="I21" s="47">
        <f t="shared" si="1"/>
        <v>59.054940000000002</v>
      </c>
      <c r="K21" s="44">
        <f t="shared" si="10"/>
        <v>23</v>
      </c>
      <c r="L21" s="47">
        <f t="shared" si="6"/>
        <v>13.537208511562797</v>
      </c>
      <c r="N21" s="48">
        <f t="shared" si="7"/>
        <v>4.3478260869565216E-2</v>
      </c>
      <c r="O21" s="335">
        <f t="shared" si="2"/>
        <v>7.3870473306653334E-2</v>
      </c>
      <c r="P21" s="49"/>
      <c r="Q21" s="44">
        <f t="shared" si="11"/>
        <v>28</v>
      </c>
      <c r="R21" s="50">
        <f t="shared" si="3"/>
        <v>0.11244979919678715</v>
      </c>
      <c r="T21" s="44">
        <f t="shared" si="12"/>
        <v>13</v>
      </c>
      <c r="U21" s="46">
        <f t="shared" si="8"/>
        <v>55.4</v>
      </c>
    </row>
    <row r="22" spans="2:21">
      <c r="B22" s="44">
        <f t="shared" si="13"/>
        <v>22000</v>
      </c>
      <c r="C22" s="45">
        <f t="shared" si="0"/>
        <v>12948.634228451372</v>
      </c>
      <c r="E22" s="44">
        <f t="shared" si="9"/>
        <v>3.75</v>
      </c>
      <c r="F22" s="46">
        <f t="shared" si="4"/>
        <v>738.18751500000008</v>
      </c>
      <c r="H22" s="44">
        <f t="shared" si="5"/>
        <v>19</v>
      </c>
      <c r="I22" s="47">
        <f t="shared" si="1"/>
        <v>62.335769999999997</v>
      </c>
      <c r="K22" s="44">
        <f t="shared" si="10"/>
        <v>24</v>
      </c>
      <c r="L22" s="47">
        <f t="shared" si="6"/>
        <v>14.125782794674222</v>
      </c>
      <c r="N22" s="48">
        <f t="shared" si="7"/>
        <v>4.1666666666666664E-2</v>
      </c>
      <c r="O22" s="335">
        <f t="shared" si="2"/>
        <v>7.0792536918876117E-2</v>
      </c>
      <c r="P22" s="49"/>
      <c r="Q22" s="44">
        <f t="shared" si="11"/>
        <v>30</v>
      </c>
      <c r="R22" s="50">
        <f t="shared" si="3"/>
        <v>0.12048192771084337</v>
      </c>
      <c r="T22" s="44">
        <f t="shared" si="12"/>
        <v>14</v>
      </c>
      <c r="U22" s="46">
        <f t="shared" si="8"/>
        <v>57.2</v>
      </c>
    </row>
    <row r="23" spans="2:21">
      <c r="B23" s="44">
        <f t="shared" si="13"/>
        <v>23000</v>
      </c>
      <c r="C23" s="45">
        <f t="shared" si="0"/>
        <v>13537.208511562796</v>
      </c>
      <c r="E23" s="44">
        <f t="shared" si="9"/>
        <v>4</v>
      </c>
      <c r="F23" s="46">
        <f t="shared" si="4"/>
        <v>787.40001600000005</v>
      </c>
      <c r="H23" s="44">
        <f t="shared" si="5"/>
        <v>20</v>
      </c>
      <c r="I23" s="47">
        <f t="shared" si="1"/>
        <v>65.616600000000005</v>
      </c>
      <c r="K23" s="44">
        <f t="shared" si="10"/>
        <v>25</v>
      </c>
      <c r="L23" s="47">
        <f t="shared" si="6"/>
        <v>14.714357077785648</v>
      </c>
      <c r="N23" s="48">
        <f t="shared" si="7"/>
        <v>0.04</v>
      </c>
      <c r="O23" s="335">
        <f t="shared" si="2"/>
        <v>6.7960835442121073E-2</v>
      </c>
      <c r="P23" s="49"/>
      <c r="Q23" s="44">
        <f t="shared" si="11"/>
        <v>32</v>
      </c>
      <c r="R23" s="50">
        <f t="shared" si="3"/>
        <v>0.12851405622489959</v>
      </c>
      <c r="T23" s="44">
        <f t="shared" si="12"/>
        <v>15</v>
      </c>
      <c r="U23" s="46">
        <f t="shared" si="8"/>
        <v>59</v>
      </c>
    </row>
    <row r="24" spans="2:21">
      <c r="B24" s="44">
        <f t="shared" si="13"/>
        <v>24000</v>
      </c>
      <c r="C24" s="45">
        <f t="shared" si="0"/>
        <v>14125.782794674222</v>
      </c>
      <c r="E24" s="44">
        <f t="shared" si="9"/>
        <v>4.25</v>
      </c>
      <c r="F24" s="46">
        <f t="shared" si="4"/>
        <v>836.61251700000003</v>
      </c>
      <c r="H24" s="44"/>
      <c r="I24" s="46"/>
      <c r="K24" s="44">
        <f t="shared" si="10"/>
        <v>26</v>
      </c>
      <c r="L24" s="47">
        <f t="shared" si="6"/>
        <v>15.302931360897075</v>
      </c>
      <c r="N24" s="48">
        <f t="shared" si="7"/>
        <v>3.8461538461538464E-2</v>
      </c>
      <c r="O24" s="335">
        <f t="shared" si="2"/>
        <v>6.5346957155885649E-2</v>
      </c>
      <c r="P24" s="49"/>
      <c r="Q24" s="44">
        <f t="shared" si="11"/>
        <v>34</v>
      </c>
      <c r="R24" s="50">
        <f t="shared" si="3"/>
        <v>0.13654618473895583</v>
      </c>
      <c r="T24" s="44">
        <f t="shared" si="12"/>
        <v>16</v>
      </c>
      <c r="U24" s="46">
        <f t="shared" si="8"/>
        <v>60.8</v>
      </c>
    </row>
    <row r="25" spans="2:21">
      <c r="B25" s="44">
        <f t="shared" si="13"/>
        <v>25000</v>
      </c>
      <c r="C25" s="45">
        <f t="shared" si="0"/>
        <v>14714.357077785649</v>
      </c>
      <c r="E25" s="44">
        <f t="shared" si="9"/>
        <v>4.5</v>
      </c>
      <c r="F25" s="46">
        <f t="shared" si="4"/>
        <v>885.825018</v>
      </c>
      <c r="H25" s="44">
        <v>100</v>
      </c>
      <c r="I25" s="46">
        <f t="shared" ref="I25:I31" si="14">H25*3.28083</f>
        <v>328.08299999999997</v>
      </c>
      <c r="K25" s="44">
        <f t="shared" si="10"/>
        <v>27</v>
      </c>
      <c r="L25" s="47">
        <f t="shared" si="6"/>
        <v>15.8915056440085</v>
      </c>
      <c r="N25" s="48">
        <f t="shared" si="7"/>
        <v>3.7037037037037035E-2</v>
      </c>
      <c r="O25" s="335">
        <f t="shared" si="2"/>
        <v>6.2926699483445439E-2</v>
      </c>
      <c r="P25" s="49"/>
      <c r="Q25" s="44">
        <f t="shared" si="11"/>
        <v>36</v>
      </c>
      <c r="R25" s="50">
        <f t="shared" si="3"/>
        <v>0.14457831325301204</v>
      </c>
      <c r="T25" s="44">
        <f t="shared" si="12"/>
        <v>17</v>
      </c>
      <c r="U25" s="46">
        <f t="shared" si="8"/>
        <v>62.6</v>
      </c>
    </row>
    <row r="26" spans="2:21" ht="13.5" thickBot="1">
      <c r="B26" s="44">
        <f t="shared" si="13"/>
        <v>26000</v>
      </c>
      <c r="C26" s="45">
        <f t="shared" si="0"/>
        <v>15302.931360897075</v>
      </c>
      <c r="E26" s="51">
        <f t="shared" si="9"/>
        <v>4.75</v>
      </c>
      <c r="F26" s="52">
        <f t="shared" si="4"/>
        <v>935.03751900000009</v>
      </c>
      <c r="H26" s="44">
        <f t="shared" ref="H26:H31" si="15">H25+10</f>
        <v>110</v>
      </c>
      <c r="I26" s="46">
        <f t="shared" si="14"/>
        <v>360.8913</v>
      </c>
      <c r="K26" s="44">
        <f t="shared" si="10"/>
        <v>28</v>
      </c>
      <c r="L26" s="47">
        <f t="shared" si="6"/>
        <v>16.480079927119924</v>
      </c>
      <c r="N26" s="48">
        <f t="shared" si="7"/>
        <v>3.5714285714285712E-2</v>
      </c>
      <c r="O26" s="335">
        <f t="shared" si="2"/>
        <v>6.0679317359036672E-2</v>
      </c>
      <c r="P26" s="49"/>
      <c r="Q26" s="44">
        <f t="shared" si="11"/>
        <v>38</v>
      </c>
      <c r="R26" s="50">
        <f t="shared" si="3"/>
        <v>0.15261044176706828</v>
      </c>
      <c r="T26" s="44">
        <f t="shared" si="12"/>
        <v>18</v>
      </c>
      <c r="U26" s="46">
        <f t="shared" si="8"/>
        <v>64.400000000000006</v>
      </c>
    </row>
    <row r="27" spans="2:21">
      <c r="B27" s="44">
        <f t="shared" si="13"/>
        <v>27000</v>
      </c>
      <c r="C27" s="45">
        <f t="shared" si="0"/>
        <v>15891.505644008499</v>
      </c>
      <c r="F27" s="53"/>
      <c r="H27" s="44">
        <f t="shared" si="15"/>
        <v>120</v>
      </c>
      <c r="I27" s="46">
        <f t="shared" si="14"/>
        <v>393.69959999999998</v>
      </c>
      <c r="K27" s="44">
        <f t="shared" si="10"/>
        <v>29</v>
      </c>
      <c r="L27" s="47">
        <f t="shared" si="6"/>
        <v>17.068654210231351</v>
      </c>
      <c r="N27" s="48">
        <f t="shared" si="7"/>
        <v>3.4482758620689655E-2</v>
      </c>
      <c r="O27" s="335">
        <f t="shared" si="2"/>
        <v>5.8586927105276784E-2</v>
      </c>
      <c r="P27" s="49"/>
      <c r="Q27" s="44">
        <f t="shared" si="11"/>
        <v>40</v>
      </c>
      <c r="R27" s="50">
        <f t="shared" si="3"/>
        <v>0.1606425702811245</v>
      </c>
      <c r="T27" s="44">
        <f t="shared" si="12"/>
        <v>19</v>
      </c>
      <c r="U27" s="46">
        <f t="shared" si="8"/>
        <v>66.2</v>
      </c>
    </row>
    <row r="28" spans="2:21">
      <c r="B28" s="44">
        <f t="shared" si="13"/>
        <v>28000</v>
      </c>
      <c r="C28" s="45">
        <f t="shared" si="0"/>
        <v>16480.079927119928</v>
      </c>
      <c r="H28" s="44">
        <f t="shared" si="15"/>
        <v>130</v>
      </c>
      <c r="I28" s="46">
        <f t="shared" si="14"/>
        <v>426.50790000000001</v>
      </c>
      <c r="K28" s="44">
        <f t="shared" si="10"/>
        <v>30</v>
      </c>
      <c r="L28" s="47">
        <f t="shared" si="6"/>
        <v>17.657228493342778</v>
      </c>
      <c r="N28" s="48">
        <f t="shared" si="7"/>
        <v>3.3333333333333333E-2</v>
      </c>
      <c r="O28" s="335">
        <f t="shared" si="2"/>
        <v>5.6634029535100897E-2</v>
      </c>
      <c r="P28" s="49"/>
      <c r="Q28" s="44">
        <f t="shared" si="11"/>
        <v>42</v>
      </c>
      <c r="R28" s="50">
        <f t="shared" si="3"/>
        <v>0.16867469879518071</v>
      </c>
      <c r="T28" s="44">
        <f t="shared" si="12"/>
        <v>20</v>
      </c>
      <c r="U28" s="46">
        <f t="shared" si="8"/>
        <v>68</v>
      </c>
    </row>
    <row r="29" spans="2:21">
      <c r="B29" s="44">
        <f t="shared" si="13"/>
        <v>29000</v>
      </c>
      <c r="C29" s="45">
        <f t="shared" si="0"/>
        <v>17068.654210231351</v>
      </c>
      <c r="H29" s="44">
        <f t="shared" si="15"/>
        <v>140</v>
      </c>
      <c r="I29" s="46">
        <f t="shared" si="14"/>
        <v>459.31619999999998</v>
      </c>
      <c r="K29" s="44">
        <f t="shared" si="10"/>
        <v>31</v>
      </c>
      <c r="L29" s="47">
        <f t="shared" si="6"/>
        <v>18.245802776454202</v>
      </c>
      <c r="N29" s="48">
        <f t="shared" si="7"/>
        <v>3.2258064516129031E-2</v>
      </c>
      <c r="O29" s="335">
        <f t="shared" si="2"/>
        <v>5.4807125356549254E-2</v>
      </c>
      <c r="P29" s="49"/>
      <c r="Q29" s="44">
        <f t="shared" si="11"/>
        <v>44</v>
      </c>
      <c r="R29" s="50">
        <f t="shared" si="3"/>
        <v>0.17670682730923695</v>
      </c>
      <c r="T29" s="44">
        <f t="shared" si="12"/>
        <v>21</v>
      </c>
      <c r="U29" s="46">
        <f t="shared" si="8"/>
        <v>69.8</v>
      </c>
    </row>
    <row r="30" spans="2:21">
      <c r="B30" s="44">
        <f t="shared" si="13"/>
        <v>30000</v>
      </c>
      <c r="C30" s="45">
        <f t="shared" si="0"/>
        <v>17657.228493342776</v>
      </c>
      <c r="H30" s="44">
        <f t="shared" si="15"/>
        <v>150</v>
      </c>
      <c r="I30" s="46">
        <f t="shared" si="14"/>
        <v>492.12450000000001</v>
      </c>
      <c r="K30" s="44">
        <f t="shared" si="10"/>
        <v>32</v>
      </c>
      <c r="L30" s="47">
        <f t="shared" si="6"/>
        <v>18.834377059565629</v>
      </c>
      <c r="N30" s="48">
        <f t="shared" si="7"/>
        <v>3.125E-2</v>
      </c>
      <c r="O30" s="335">
        <f t="shared" si="2"/>
        <v>5.3094402689157091E-2</v>
      </c>
      <c r="P30" s="49"/>
      <c r="Q30" s="44">
        <f t="shared" si="11"/>
        <v>46</v>
      </c>
      <c r="R30" s="50">
        <f t="shared" si="3"/>
        <v>0.18473895582329317</v>
      </c>
      <c r="T30" s="44">
        <f t="shared" si="12"/>
        <v>22</v>
      </c>
      <c r="U30" s="46">
        <f t="shared" si="8"/>
        <v>71.599999999999994</v>
      </c>
    </row>
    <row r="31" spans="2:21" ht="13.5" thickBot="1">
      <c r="B31" s="44">
        <f t="shared" si="13"/>
        <v>31000</v>
      </c>
      <c r="C31" s="45">
        <f t="shared" si="0"/>
        <v>18245.802776454202</v>
      </c>
      <c r="H31" s="51">
        <f t="shared" si="15"/>
        <v>160</v>
      </c>
      <c r="I31" s="52">
        <f t="shared" si="14"/>
        <v>524.93280000000004</v>
      </c>
      <c r="K31" s="44">
        <f t="shared" si="10"/>
        <v>33</v>
      </c>
      <c r="L31" s="47">
        <f t="shared" si="6"/>
        <v>19.422951342677056</v>
      </c>
      <c r="N31" s="48">
        <f t="shared" si="7"/>
        <v>3.0303030303030304E-2</v>
      </c>
      <c r="O31" s="335">
        <f t="shared" si="2"/>
        <v>5.1485481395546269E-2</v>
      </c>
      <c r="P31" s="49"/>
      <c r="Q31" s="44">
        <f t="shared" si="11"/>
        <v>48</v>
      </c>
      <c r="R31" s="50">
        <f t="shared" si="3"/>
        <v>0.19277108433734941</v>
      </c>
      <c r="T31" s="44">
        <f t="shared" si="12"/>
        <v>23</v>
      </c>
      <c r="U31" s="46">
        <f t="shared" si="8"/>
        <v>73.400000000000006</v>
      </c>
    </row>
    <row r="32" spans="2:21">
      <c r="B32" s="44">
        <f t="shared" si="13"/>
        <v>32000</v>
      </c>
      <c r="C32" s="45">
        <f t="shared" si="0"/>
        <v>18834.377059565628</v>
      </c>
      <c r="K32" s="44">
        <f t="shared" si="10"/>
        <v>34</v>
      </c>
      <c r="L32" s="47">
        <f t="shared" si="6"/>
        <v>20.011525625788479</v>
      </c>
      <c r="N32" s="48">
        <f t="shared" si="7"/>
        <v>2.9411764705882353E-2</v>
      </c>
      <c r="O32" s="335">
        <f t="shared" si="2"/>
        <v>4.9971202530971384E-2</v>
      </c>
      <c r="P32" s="49"/>
      <c r="Q32" s="44">
        <f t="shared" si="11"/>
        <v>50</v>
      </c>
      <c r="R32" s="50">
        <f t="shared" si="3"/>
        <v>0.20080321285140562</v>
      </c>
      <c r="T32" s="44">
        <f t="shared" si="12"/>
        <v>24</v>
      </c>
      <c r="U32" s="46">
        <f t="shared" si="8"/>
        <v>75.2</v>
      </c>
    </row>
    <row r="33" spans="2:21">
      <c r="B33" s="44">
        <f t="shared" si="13"/>
        <v>33000</v>
      </c>
      <c r="C33" s="45">
        <f t="shared" si="0"/>
        <v>19422.951342677057</v>
      </c>
      <c r="K33" s="44">
        <f t="shared" si="10"/>
        <v>35</v>
      </c>
      <c r="L33" s="47">
        <f t="shared" si="6"/>
        <v>20.600099908899907</v>
      </c>
      <c r="N33" s="48">
        <f t="shared" si="7"/>
        <v>2.8571428571428571E-2</v>
      </c>
      <c r="O33" s="335">
        <f t="shared" si="2"/>
        <v>4.8543453887229332E-2</v>
      </c>
      <c r="P33" s="49"/>
      <c r="Q33" s="44">
        <f t="shared" si="11"/>
        <v>52</v>
      </c>
      <c r="R33" s="50">
        <f t="shared" si="3"/>
        <v>0.20883534136546184</v>
      </c>
      <c r="T33" s="44">
        <f t="shared" si="12"/>
        <v>25</v>
      </c>
      <c r="U33" s="46">
        <f t="shared" si="8"/>
        <v>77</v>
      </c>
    </row>
    <row r="34" spans="2:21">
      <c r="B34" s="44">
        <f t="shared" si="13"/>
        <v>34000</v>
      </c>
      <c r="C34" s="45">
        <f t="shared" si="0"/>
        <v>20011.525625788483</v>
      </c>
      <c r="K34" s="44">
        <f t="shared" si="10"/>
        <v>36</v>
      </c>
      <c r="L34" s="47">
        <f t="shared" si="6"/>
        <v>21.188674192011334</v>
      </c>
      <c r="N34" s="48">
        <f t="shared" si="7"/>
        <v>2.7777777777777776E-2</v>
      </c>
      <c r="O34" s="335">
        <f t="shared" si="2"/>
        <v>4.7195024612584076E-2</v>
      </c>
      <c r="P34" s="49"/>
      <c r="Q34" s="44">
        <f t="shared" si="11"/>
        <v>54</v>
      </c>
      <c r="R34" s="50">
        <f t="shared" si="3"/>
        <v>0.21686746987951808</v>
      </c>
      <c r="T34" s="44">
        <f t="shared" si="12"/>
        <v>26</v>
      </c>
      <c r="U34" s="46">
        <f t="shared" si="8"/>
        <v>78.8</v>
      </c>
    </row>
    <row r="35" spans="2:21">
      <c r="B35" s="44">
        <f t="shared" si="13"/>
        <v>35000</v>
      </c>
      <c r="C35" s="45">
        <f t="shared" si="0"/>
        <v>20600.099908899909</v>
      </c>
      <c r="K35" s="44">
        <f t="shared" si="10"/>
        <v>37</v>
      </c>
      <c r="L35" s="47">
        <f t="shared" si="6"/>
        <v>21.777248475122757</v>
      </c>
      <c r="N35" s="48">
        <f t="shared" si="7"/>
        <v>2.7027027027027029E-2</v>
      </c>
      <c r="O35" s="335">
        <f t="shared" si="2"/>
        <v>4.5919483406838567E-2</v>
      </c>
      <c r="P35" s="49"/>
      <c r="Q35" s="44">
        <f t="shared" si="11"/>
        <v>56</v>
      </c>
      <c r="R35" s="50">
        <f t="shared" si="3"/>
        <v>0.22489959839357429</v>
      </c>
      <c r="T35" s="44">
        <f t="shared" si="12"/>
        <v>27</v>
      </c>
      <c r="U35" s="46">
        <f t="shared" si="8"/>
        <v>80.599999999999994</v>
      </c>
    </row>
    <row r="36" spans="2:21">
      <c r="B36" s="44">
        <f t="shared" si="13"/>
        <v>36000</v>
      </c>
      <c r="C36" s="45">
        <f t="shared" si="0"/>
        <v>21188.674192011335</v>
      </c>
      <c r="K36" s="44">
        <f t="shared" si="10"/>
        <v>38</v>
      </c>
      <c r="L36" s="47">
        <f t="shared" si="6"/>
        <v>22.365822758234184</v>
      </c>
      <c r="N36" s="48">
        <f t="shared" si="7"/>
        <v>2.6315789473684209E-2</v>
      </c>
      <c r="O36" s="335">
        <f t="shared" si="2"/>
        <v>4.4711075948763869E-2</v>
      </c>
      <c r="P36" s="49"/>
      <c r="Q36" s="44">
        <f t="shared" si="11"/>
        <v>58</v>
      </c>
      <c r="R36" s="50">
        <f t="shared" si="3"/>
        <v>0.23293172690763053</v>
      </c>
      <c r="T36" s="44">
        <f t="shared" si="12"/>
        <v>28</v>
      </c>
      <c r="U36" s="46">
        <f t="shared" si="8"/>
        <v>82.4</v>
      </c>
    </row>
    <row r="37" spans="2:21">
      <c r="B37" s="44">
        <f t="shared" si="13"/>
        <v>37000</v>
      </c>
      <c r="C37" s="45">
        <f t="shared" si="0"/>
        <v>21777.248475122757</v>
      </c>
      <c r="K37" s="44">
        <f t="shared" si="10"/>
        <v>39</v>
      </c>
      <c r="L37" s="47">
        <f t="shared" si="6"/>
        <v>22.954397041345612</v>
      </c>
      <c r="N37" s="48">
        <f t="shared" si="7"/>
        <v>2.564102564102564E-2</v>
      </c>
      <c r="O37" s="335">
        <f t="shared" si="2"/>
        <v>4.3564638103923761E-2</v>
      </c>
      <c r="P37" s="49"/>
      <c r="Q37" s="44">
        <f t="shared" si="11"/>
        <v>60</v>
      </c>
      <c r="R37" s="50">
        <f t="shared" si="3"/>
        <v>0.24096385542168675</v>
      </c>
      <c r="T37" s="44">
        <f t="shared" si="12"/>
        <v>29</v>
      </c>
      <c r="U37" s="46">
        <f t="shared" si="8"/>
        <v>84.2</v>
      </c>
    </row>
    <row r="38" spans="2:21" ht="13.5" thickBot="1">
      <c r="B38" s="44">
        <f t="shared" si="13"/>
        <v>38000</v>
      </c>
      <c r="C38" s="45">
        <f t="shared" si="0"/>
        <v>22365.822758234186</v>
      </c>
      <c r="K38" s="44">
        <f t="shared" si="10"/>
        <v>40</v>
      </c>
      <c r="L38" s="47">
        <f t="shared" si="6"/>
        <v>23.542971324457039</v>
      </c>
      <c r="N38" s="54">
        <f t="shared" si="7"/>
        <v>2.5000000000000001E-2</v>
      </c>
      <c r="O38" s="336">
        <f t="shared" si="2"/>
        <v>4.2475522151325676E-2</v>
      </c>
      <c r="P38" s="49"/>
      <c r="Q38" s="44">
        <f t="shared" si="11"/>
        <v>62</v>
      </c>
      <c r="R38" s="50">
        <f t="shared" si="3"/>
        <v>0.24899598393574296</v>
      </c>
      <c r="T38" s="44">
        <f t="shared" si="12"/>
        <v>30</v>
      </c>
      <c r="U38" s="46">
        <f t="shared" si="8"/>
        <v>86</v>
      </c>
    </row>
    <row r="39" spans="2:21">
      <c r="B39" s="44">
        <f t="shared" si="13"/>
        <v>39000</v>
      </c>
      <c r="C39" s="45">
        <f t="shared" si="0"/>
        <v>22954.397041345612</v>
      </c>
      <c r="K39" s="44">
        <f t="shared" si="10"/>
        <v>41</v>
      </c>
      <c r="L39" s="47">
        <f t="shared" si="6"/>
        <v>24.131545607568462</v>
      </c>
      <c r="Q39" s="44">
        <f t="shared" si="11"/>
        <v>64</v>
      </c>
      <c r="R39" s="50">
        <f t="shared" si="3"/>
        <v>0.25702811244979917</v>
      </c>
      <c r="T39" s="44">
        <f t="shared" si="12"/>
        <v>31</v>
      </c>
      <c r="U39" s="46">
        <f t="shared" si="8"/>
        <v>87.8</v>
      </c>
    </row>
    <row r="40" spans="2:21">
      <c r="B40" s="44">
        <f t="shared" si="13"/>
        <v>40000</v>
      </c>
      <c r="C40" s="45">
        <f t="shared" si="0"/>
        <v>23542.971324457038</v>
      </c>
      <c r="K40" s="44">
        <f t="shared" si="10"/>
        <v>42</v>
      </c>
      <c r="L40" s="47">
        <f t="shared" si="6"/>
        <v>24.720119890679889</v>
      </c>
      <c r="Q40" s="44">
        <f t="shared" si="11"/>
        <v>66</v>
      </c>
      <c r="R40" s="50">
        <f t="shared" si="3"/>
        <v>0.26506024096385544</v>
      </c>
      <c r="T40" s="44">
        <f t="shared" si="12"/>
        <v>32</v>
      </c>
      <c r="U40" s="46">
        <f t="shared" si="8"/>
        <v>89.6</v>
      </c>
    </row>
    <row r="41" spans="2:21">
      <c r="B41" s="44"/>
      <c r="C41" s="45"/>
      <c r="K41" s="44">
        <f t="shared" si="10"/>
        <v>43</v>
      </c>
      <c r="L41" s="47">
        <f t="shared" si="6"/>
        <v>25.308694173791316</v>
      </c>
      <c r="Q41" s="44">
        <f t="shared" si="11"/>
        <v>68</v>
      </c>
      <c r="R41" s="50">
        <f t="shared" si="3"/>
        <v>0.27309236947791166</v>
      </c>
      <c r="T41" s="44">
        <f t="shared" si="12"/>
        <v>33</v>
      </c>
      <c r="U41" s="46">
        <f t="shared" si="8"/>
        <v>91.4</v>
      </c>
    </row>
    <row r="42" spans="2:21" ht="13.5" thickBot="1">
      <c r="B42" s="44">
        <v>50000</v>
      </c>
      <c r="C42" s="45">
        <f t="shared" ref="C42:C51" si="16">B42*(3.2808334)^3/60</f>
        <v>29428.714155571299</v>
      </c>
      <c r="K42" s="44">
        <f t="shared" si="10"/>
        <v>44</v>
      </c>
      <c r="L42" s="47">
        <f t="shared" si="6"/>
        <v>25.89726845690274</v>
      </c>
      <c r="Q42" s="51">
        <f t="shared" si="11"/>
        <v>70</v>
      </c>
      <c r="R42" s="55">
        <f t="shared" si="3"/>
        <v>0.28112449799196787</v>
      </c>
      <c r="T42" s="44">
        <f t="shared" si="12"/>
        <v>34</v>
      </c>
      <c r="U42" s="46">
        <f t="shared" si="8"/>
        <v>93.2</v>
      </c>
    </row>
    <row r="43" spans="2:21">
      <c r="B43" s="44">
        <f>B42+50000</f>
        <v>100000</v>
      </c>
      <c r="C43" s="45">
        <f t="shared" si="16"/>
        <v>58857.428311142598</v>
      </c>
      <c r="K43" s="44">
        <f t="shared" si="10"/>
        <v>45</v>
      </c>
      <c r="L43" s="47">
        <f t="shared" si="6"/>
        <v>26.485842740014167</v>
      </c>
      <c r="T43" s="44">
        <f t="shared" si="12"/>
        <v>35</v>
      </c>
      <c r="U43" s="46">
        <f t="shared" si="8"/>
        <v>95</v>
      </c>
    </row>
    <row r="44" spans="2:21">
      <c r="B44" s="44">
        <f t="shared" ref="B44:B50" si="17">B43+50000</f>
        <v>150000</v>
      </c>
      <c r="C44" s="45">
        <f t="shared" si="16"/>
        <v>88286.142466713893</v>
      </c>
      <c r="K44" s="44">
        <f t="shared" si="10"/>
        <v>46</v>
      </c>
      <c r="L44" s="47">
        <f t="shared" si="6"/>
        <v>27.074417023125594</v>
      </c>
      <c r="T44" s="44">
        <f t="shared" si="12"/>
        <v>36</v>
      </c>
      <c r="U44" s="46">
        <f t="shared" si="8"/>
        <v>96.8</v>
      </c>
    </row>
    <row r="45" spans="2:21">
      <c r="B45" s="44">
        <f t="shared" si="17"/>
        <v>200000</v>
      </c>
      <c r="C45" s="45">
        <f t="shared" si="16"/>
        <v>117714.8566222852</v>
      </c>
      <c r="K45" s="44">
        <f t="shared" si="10"/>
        <v>47</v>
      </c>
      <c r="L45" s="47">
        <f t="shared" si="6"/>
        <v>27.662991306237018</v>
      </c>
      <c r="T45" s="44">
        <f t="shared" si="12"/>
        <v>37</v>
      </c>
      <c r="U45" s="46">
        <f t="shared" si="8"/>
        <v>98.6</v>
      </c>
    </row>
    <row r="46" spans="2:21">
      <c r="B46" s="44">
        <f t="shared" si="17"/>
        <v>250000</v>
      </c>
      <c r="C46" s="45">
        <f t="shared" si="16"/>
        <v>147143.57077785648</v>
      </c>
      <c r="K46" s="44">
        <f t="shared" si="10"/>
        <v>48</v>
      </c>
      <c r="L46" s="47">
        <f t="shared" si="6"/>
        <v>28.251565589348445</v>
      </c>
      <c r="T46" s="44">
        <f t="shared" si="12"/>
        <v>38</v>
      </c>
      <c r="U46" s="46">
        <f t="shared" si="8"/>
        <v>100.4</v>
      </c>
    </row>
    <row r="47" spans="2:21">
      <c r="B47" s="44">
        <f t="shared" si="17"/>
        <v>300000</v>
      </c>
      <c r="C47" s="45">
        <f t="shared" si="16"/>
        <v>176572.28493342779</v>
      </c>
      <c r="K47" s="44">
        <f t="shared" si="10"/>
        <v>49</v>
      </c>
      <c r="L47" s="47">
        <f t="shared" si="6"/>
        <v>28.840139872459872</v>
      </c>
      <c r="T47" s="44">
        <f t="shared" si="12"/>
        <v>39</v>
      </c>
      <c r="U47" s="46">
        <f t="shared" si="8"/>
        <v>102.2</v>
      </c>
    </row>
    <row r="48" spans="2:21">
      <c r="B48" s="44">
        <f t="shared" si="17"/>
        <v>350000</v>
      </c>
      <c r="C48" s="45">
        <f t="shared" si="16"/>
        <v>206000.99908899906</v>
      </c>
      <c r="K48" s="44">
        <f t="shared" si="10"/>
        <v>50</v>
      </c>
      <c r="L48" s="47">
        <f t="shared" si="6"/>
        <v>29.428714155571296</v>
      </c>
      <c r="T48" s="44">
        <f t="shared" si="12"/>
        <v>40</v>
      </c>
      <c r="U48" s="46">
        <f t="shared" si="8"/>
        <v>104</v>
      </c>
    </row>
    <row r="49" spans="2:21">
      <c r="B49" s="44">
        <f t="shared" si="17"/>
        <v>400000</v>
      </c>
      <c r="C49" s="45">
        <f t="shared" si="16"/>
        <v>235429.71324457039</v>
      </c>
      <c r="K49" s="44">
        <f t="shared" si="10"/>
        <v>51</v>
      </c>
      <c r="L49" s="47">
        <f t="shared" si="6"/>
        <v>30.017288438682723</v>
      </c>
      <c r="T49" s="44">
        <f t="shared" si="12"/>
        <v>41</v>
      </c>
      <c r="U49" s="46">
        <f t="shared" si="8"/>
        <v>105.8</v>
      </c>
    </row>
    <row r="50" spans="2:21" ht="13.5" thickBot="1">
      <c r="B50" s="44">
        <f t="shared" si="17"/>
        <v>450000</v>
      </c>
      <c r="C50" s="45">
        <f t="shared" si="16"/>
        <v>264858.42740014166</v>
      </c>
      <c r="K50" s="44">
        <f t="shared" si="10"/>
        <v>52</v>
      </c>
      <c r="L50" s="47">
        <f t="shared" si="6"/>
        <v>30.60586272179415</v>
      </c>
      <c r="T50" s="51">
        <f t="shared" si="12"/>
        <v>42</v>
      </c>
      <c r="U50" s="52">
        <f t="shared" si="8"/>
        <v>107.6</v>
      </c>
    </row>
    <row r="51" spans="2:21" ht="13.5" thickBot="1">
      <c r="B51" s="51">
        <f>B50+50000</f>
        <v>500000</v>
      </c>
      <c r="C51" s="56">
        <f t="shared" si="16"/>
        <v>294287.14155571297</v>
      </c>
      <c r="K51" s="51">
        <f t="shared" si="10"/>
        <v>53</v>
      </c>
      <c r="L51" s="57">
        <f t="shared" si="6"/>
        <v>31.194437004905573</v>
      </c>
    </row>
    <row r="52" spans="2:21">
      <c r="M52" s="58"/>
      <c r="N52" s="58"/>
    </row>
    <row r="53" spans="2:21" hidden="1"/>
    <row r="54" spans="2:21" hidden="1"/>
    <row r="55" spans="2:21" hidden="1">
      <c r="H55" s="53"/>
    </row>
    <row r="56" spans="2:21" hidden="1">
      <c r="H56" s="53"/>
    </row>
    <row r="57" spans="2:21" hidden="1">
      <c r="H57" s="53"/>
    </row>
    <row r="58" spans="2:21" hidden="1">
      <c r="H58" s="53"/>
    </row>
    <row r="59" spans="2:21" hidden="1">
      <c r="H59" s="53"/>
    </row>
    <row r="60" spans="2:21" hidden="1">
      <c r="H60" s="53"/>
    </row>
  </sheetData>
  <sheetProtection sheet="1" objects="1" scenarios="1" selectLockedCells="1"/>
  <mergeCells count="7">
    <mergeCell ref="T5:U5"/>
    <mergeCell ref="B5:C5"/>
    <mergeCell ref="E5:F5"/>
    <mergeCell ref="H5:I5"/>
    <mergeCell ref="K5:L5"/>
    <mergeCell ref="N5:O5"/>
    <mergeCell ref="Q5:R5"/>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Ventilation Fan Cost Calculator</vt:lpstr>
      <vt:lpstr>Imperial to metric Conv.</vt:lpstr>
      <vt:lpstr>Metric to Imperial Conv.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DAFF</dc:creator>
  <cp:lastModifiedBy>Vivien</cp:lastModifiedBy>
  <cp:lastPrinted>2012-03-14T04:39:50Z</cp:lastPrinted>
  <dcterms:created xsi:type="dcterms:W3CDTF">2011-05-20T20:22:37Z</dcterms:created>
  <dcterms:modified xsi:type="dcterms:W3CDTF">2015-03-09T02:05:49Z</dcterms:modified>
</cp:coreProperties>
</file>