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55" yWindow="1230" windowWidth="19440" windowHeight="10755" tabRatio="598"/>
  </bookViews>
  <sheets>
    <sheet name="Tunnel Fan Comparison" sheetId="1" r:id="rId1"/>
    <sheet name="Imperial to metric Conv." sheetId="2" r:id="rId2"/>
    <sheet name="Metric to Imperial Conv." sheetId="3" r:id="rId3"/>
  </sheets>
  <calcPr calcId="145621"/>
</workbook>
</file>

<file path=xl/calcChain.xml><?xml version="1.0" encoding="utf-8"?>
<calcChain xmlns="http://schemas.openxmlformats.org/spreadsheetml/2006/main">
  <c r="G5" i="2" l="1"/>
  <c r="C5" i="2"/>
  <c r="D5" i="2" s="1"/>
  <c r="B41" i="3"/>
  <c r="C41" i="3" s="1"/>
  <c r="C40" i="3"/>
  <c r="H24" i="3"/>
  <c r="I24" i="3" s="1"/>
  <c r="I23" i="3"/>
  <c r="T7" i="3"/>
  <c r="T8" i="3" s="1"/>
  <c r="R7" i="3"/>
  <c r="Q7" i="3"/>
  <c r="Q8" i="3" s="1"/>
  <c r="K7" i="3"/>
  <c r="K8" i="3" s="1"/>
  <c r="I7" i="3"/>
  <c r="H7" i="3"/>
  <c r="H8" i="3" s="1"/>
  <c r="E7" i="3"/>
  <c r="E8" i="3" s="1"/>
  <c r="C7" i="3"/>
  <c r="B7" i="3"/>
  <c r="B8" i="3" s="1"/>
  <c r="U6" i="3"/>
  <c r="R6" i="3"/>
  <c r="N6" i="3"/>
  <c r="L6" i="3"/>
  <c r="O6" i="3" s="1"/>
  <c r="I6" i="3"/>
  <c r="F6" i="3"/>
  <c r="C6" i="3"/>
  <c r="U5" i="3"/>
  <c r="R5" i="3"/>
  <c r="L5" i="3"/>
  <c r="O5" i="3" s="1"/>
  <c r="I5" i="3"/>
  <c r="F5" i="3"/>
  <c r="C5" i="3"/>
  <c r="B47" i="2"/>
  <c r="B48" i="2" s="1"/>
  <c r="C46" i="2"/>
  <c r="D46" i="2" s="1"/>
  <c r="L31" i="2"/>
  <c r="M30" i="2"/>
  <c r="I20" i="2"/>
  <c r="I21" i="2" s="1"/>
  <c r="J19" i="2"/>
  <c r="J18" i="2"/>
  <c r="R7" i="2"/>
  <c r="R8" i="2" s="1"/>
  <c r="O7" i="2"/>
  <c r="O8" i="2" s="1"/>
  <c r="L7" i="2"/>
  <c r="L8" i="2" s="1"/>
  <c r="I7" i="2"/>
  <c r="I8" i="2" s="1"/>
  <c r="F7" i="2"/>
  <c r="F8" i="2" s="1"/>
  <c r="C7" i="2"/>
  <c r="D7" i="2" s="1"/>
  <c r="B7" i="2"/>
  <c r="B8" i="2" s="1"/>
  <c r="S6" i="2"/>
  <c r="P6" i="2"/>
  <c r="M6" i="2"/>
  <c r="M31" i="2" s="1"/>
  <c r="J6" i="2"/>
  <c r="G6" i="2"/>
  <c r="C6" i="2"/>
  <c r="D6" i="2" s="1"/>
  <c r="S5" i="2"/>
  <c r="P5" i="2"/>
  <c r="M5" i="2"/>
  <c r="J5" i="2"/>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G69" i="1"/>
  <c r="G70" i="1"/>
  <c r="G71" i="1"/>
  <c r="G72" i="1"/>
  <c r="F7" i="3" l="1"/>
  <c r="L7" i="3"/>
  <c r="O7" i="3" s="1"/>
  <c r="U7" i="3"/>
  <c r="F8" i="3"/>
  <c r="E9" i="3"/>
  <c r="L8" i="3"/>
  <c r="O8" i="3" s="1"/>
  <c r="K9" i="3"/>
  <c r="N8" i="3"/>
  <c r="T9" i="3"/>
  <c r="U8" i="3"/>
  <c r="B9" i="3"/>
  <c r="C8" i="3"/>
  <c r="H9" i="3"/>
  <c r="I8" i="3"/>
  <c r="R8" i="3"/>
  <c r="Q9" i="3"/>
  <c r="H25" i="3"/>
  <c r="B42" i="3"/>
  <c r="N7" i="3"/>
  <c r="I22" i="2"/>
  <c r="J21" i="2"/>
  <c r="B9" i="2"/>
  <c r="C8" i="2"/>
  <c r="D8" i="2" s="1"/>
  <c r="O9" i="2"/>
  <c r="P8" i="2"/>
  <c r="B49" i="2"/>
  <c r="C48" i="2"/>
  <c r="D48" i="2" s="1"/>
  <c r="L9" i="2"/>
  <c r="M8" i="2"/>
  <c r="M33" i="2" s="1"/>
  <c r="L33" i="2"/>
  <c r="I9" i="2"/>
  <c r="J8" i="2"/>
  <c r="F9" i="2"/>
  <c r="G8" i="2"/>
  <c r="R9" i="2"/>
  <c r="S8" i="2"/>
  <c r="J7" i="2"/>
  <c r="P7" i="2"/>
  <c r="J20" i="2"/>
  <c r="L32" i="2"/>
  <c r="G7" i="2"/>
  <c r="M7" i="2"/>
  <c r="M32" i="2" s="1"/>
  <c r="S7" i="2"/>
  <c r="C47" i="2"/>
  <c r="D47" i="2" s="1"/>
  <c r="K11" i="1"/>
  <c r="H11" i="1" s="1"/>
  <c r="A99" i="1"/>
  <c r="B99" i="1" s="1"/>
  <c r="A100" i="1"/>
  <c r="B100" i="1" s="1"/>
  <c r="C100" i="1" s="1"/>
  <c r="A101" i="1"/>
  <c r="B101" i="1" s="1"/>
  <c r="C101" i="1" s="1"/>
  <c r="R110" i="1"/>
  <c r="V110" i="1" s="1"/>
  <c r="Z110" i="1" s="1"/>
  <c r="K105" i="1"/>
  <c r="K107" i="1"/>
  <c r="K103" i="1"/>
  <c r="K102" i="1"/>
  <c r="K101" i="1"/>
  <c r="AC101" i="1" s="1"/>
  <c r="L101" i="1" s="1"/>
  <c r="K99" i="1"/>
  <c r="AC99" i="1" s="1"/>
  <c r="L99" i="1" s="1"/>
  <c r="K98" i="1"/>
  <c r="K97" i="1"/>
  <c r="K96" i="1"/>
  <c r="AC96" i="1" s="1"/>
  <c r="L96" i="1" s="1"/>
  <c r="K95" i="1"/>
  <c r="K94" i="1"/>
  <c r="AB108" i="1"/>
  <c r="N108" i="1" s="1"/>
  <c r="AB109" i="1"/>
  <c r="N109" i="1" s="1"/>
  <c r="AB110" i="1"/>
  <c r="N110" i="1" s="1"/>
  <c r="AB94" i="1"/>
  <c r="N94" i="1" s="1"/>
  <c r="AB95" i="1"/>
  <c r="N95" i="1" s="1"/>
  <c r="AB96" i="1"/>
  <c r="N96" i="1" s="1"/>
  <c r="AB97" i="1"/>
  <c r="N97" i="1" s="1"/>
  <c r="AB98" i="1"/>
  <c r="N98" i="1" s="1"/>
  <c r="AB99" i="1"/>
  <c r="N99" i="1" s="1"/>
  <c r="AB100" i="1"/>
  <c r="N100" i="1" s="1"/>
  <c r="AB101" i="1"/>
  <c r="N101" i="1" s="1"/>
  <c r="AB102" i="1"/>
  <c r="N102" i="1" s="1"/>
  <c r="AB103" i="1"/>
  <c r="N103" i="1" s="1"/>
  <c r="AB104" i="1"/>
  <c r="N104" i="1" s="1"/>
  <c r="AB105" i="1"/>
  <c r="N105" i="1" s="1"/>
  <c r="AB106" i="1"/>
  <c r="N106" i="1" s="1"/>
  <c r="AB107" i="1"/>
  <c r="N107" i="1" s="1"/>
  <c r="L108" i="1"/>
  <c r="L109" i="1"/>
  <c r="L110" i="1"/>
  <c r="AC94" i="1"/>
  <c r="L94" i="1" s="1"/>
  <c r="AC95" i="1"/>
  <c r="L95" i="1" s="1"/>
  <c r="AC98" i="1"/>
  <c r="L98" i="1" s="1"/>
  <c r="K100" i="1"/>
  <c r="AC102" i="1"/>
  <c r="L102" i="1" s="1"/>
  <c r="AC103" i="1"/>
  <c r="L103" i="1" s="1"/>
  <c r="K104" i="1"/>
  <c r="Y104" i="1" s="1"/>
  <c r="AC104" i="1"/>
  <c r="L104" i="1"/>
  <c r="AC105" i="1"/>
  <c r="L105" i="1" s="1"/>
  <c r="K106" i="1"/>
  <c r="Y106" i="1" s="1"/>
  <c r="AC106" i="1"/>
  <c r="L106" i="1"/>
  <c r="A110" i="1"/>
  <c r="M110" i="1" s="1"/>
  <c r="A109" i="1"/>
  <c r="B109" i="1" s="1"/>
  <c r="C109" i="1" s="1"/>
  <c r="A108" i="1"/>
  <c r="A107" i="1"/>
  <c r="M107" i="1" s="1"/>
  <c r="A106" i="1"/>
  <c r="B106" i="1" s="1"/>
  <c r="C106" i="1" s="1"/>
  <c r="AF110" i="1"/>
  <c r="AD110" i="1"/>
  <c r="AC110" i="1"/>
  <c r="K110" i="1"/>
  <c r="Y110" i="1" s="1"/>
  <c r="AF109" i="1"/>
  <c r="AD109" i="1"/>
  <c r="K109" i="1"/>
  <c r="Y109" i="1" s="1"/>
  <c r="AC109" i="1"/>
  <c r="R109" i="1"/>
  <c r="V109" i="1" s="1"/>
  <c r="Z109" i="1" s="1"/>
  <c r="AD68" i="1"/>
  <c r="A68" i="1"/>
  <c r="B68" i="1" s="1"/>
  <c r="C68" i="1" s="1"/>
  <c r="AD69" i="1"/>
  <c r="A69" i="1"/>
  <c r="B69" i="1" s="1"/>
  <c r="C69" i="1" s="1"/>
  <c r="AD70" i="1"/>
  <c r="A70" i="1"/>
  <c r="B70" i="1" s="1"/>
  <c r="AD71" i="1"/>
  <c r="A71" i="1"/>
  <c r="B71" i="1" s="1"/>
  <c r="C71" i="1" s="1"/>
  <c r="AD72" i="1"/>
  <c r="A72" i="1"/>
  <c r="B72" i="1" s="1"/>
  <c r="C72" i="1" s="1"/>
  <c r="AD73" i="1"/>
  <c r="A73" i="1"/>
  <c r="B73" i="1" s="1"/>
  <c r="C73" i="1" s="1"/>
  <c r="AD74" i="1"/>
  <c r="A74" i="1"/>
  <c r="B74" i="1" s="1"/>
  <c r="C74" i="1" s="1"/>
  <c r="AD75" i="1"/>
  <c r="A75" i="1"/>
  <c r="B75" i="1" s="1"/>
  <c r="C75" i="1" s="1"/>
  <c r="AD76" i="1"/>
  <c r="A76" i="1"/>
  <c r="B76" i="1" s="1"/>
  <c r="AD77" i="1"/>
  <c r="A77" i="1"/>
  <c r="B77" i="1" s="1"/>
  <c r="C77" i="1" s="1"/>
  <c r="AD78" i="1"/>
  <c r="A78" i="1"/>
  <c r="B78" i="1" s="1"/>
  <c r="C78" i="1" s="1"/>
  <c r="AD79" i="1"/>
  <c r="A79" i="1"/>
  <c r="B79" i="1" s="1"/>
  <c r="C79" i="1" s="1"/>
  <c r="AD80" i="1"/>
  <c r="A80" i="1"/>
  <c r="B80" i="1" s="1"/>
  <c r="C80" i="1" s="1"/>
  <c r="AD81" i="1"/>
  <c r="A81" i="1"/>
  <c r="M81" i="1" s="1"/>
  <c r="AD82" i="1"/>
  <c r="A82" i="1"/>
  <c r="B82" i="1" s="1"/>
  <c r="C82" i="1" s="1"/>
  <c r="AD83" i="1"/>
  <c r="A83" i="1"/>
  <c r="B83" i="1" s="1"/>
  <c r="C83" i="1" s="1"/>
  <c r="AD84" i="1"/>
  <c r="A84" i="1"/>
  <c r="B84" i="1" s="1"/>
  <c r="C84" i="1" s="1"/>
  <c r="AD85" i="1"/>
  <c r="A85" i="1"/>
  <c r="B85" i="1" s="1"/>
  <c r="C85" i="1" s="1"/>
  <c r="AD86" i="1"/>
  <c r="A86" i="1"/>
  <c r="B86" i="1" s="1"/>
  <c r="AD87" i="1"/>
  <c r="A87" i="1"/>
  <c r="B87" i="1" s="1"/>
  <c r="C87" i="1" s="1"/>
  <c r="AD88" i="1"/>
  <c r="A88" i="1"/>
  <c r="B88" i="1" s="1"/>
  <c r="C88" i="1" s="1"/>
  <c r="AD89" i="1"/>
  <c r="A89" i="1"/>
  <c r="B89" i="1" s="1"/>
  <c r="C89" i="1" s="1"/>
  <c r="AD90" i="1"/>
  <c r="A90" i="1"/>
  <c r="B90" i="1" s="1"/>
  <c r="C90" i="1" s="1"/>
  <c r="AD91" i="1"/>
  <c r="A91" i="1"/>
  <c r="B91" i="1" s="1"/>
  <c r="C91" i="1" s="1"/>
  <c r="AD92" i="1"/>
  <c r="A92" i="1"/>
  <c r="B92" i="1" s="1"/>
  <c r="C92" i="1" s="1"/>
  <c r="AD93" i="1"/>
  <c r="A93" i="1"/>
  <c r="M93" i="1" s="1"/>
  <c r="AD94" i="1"/>
  <c r="A94" i="1"/>
  <c r="AD95" i="1"/>
  <c r="A95" i="1"/>
  <c r="B95" i="1" s="1"/>
  <c r="AD96" i="1"/>
  <c r="A96" i="1"/>
  <c r="B96" i="1" s="1"/>
  <c r="AD97" i="1"/>
  <c r="A97" i="1"/>
  <c r="B97" i="1" s="1"/>
  <c r="C97" i="1" s="1"/>
  <c r="AD98" i="1"/>
  <c r="A98" i="1"/>
  <c r="AD102" i="1"/>
  <c r="A102" i="1"/>
  <c r="B102" i="1" s="1"/>
  <c r="AD103" i="1"/>
  <c r="A103" i="1"/>
  <c r="B103" i="1" s="1"/>
  <c r="C103" i="1" s="1"/>
  <c r="AD104" i="1"/>
  <c r="A104" i="1"/>
  <c r="B104" i="1" s="1"/>
  <c r="C104" i="1" s="1"/>
  <c r="AD105" i="1"/>
  <c r="A105" i="1"/>
  <c r="AD106" i="1"/>
  <c r="AD107" i="1"/>
  <c r="AD108" i="1"/>
  <c r="B108" i="1"/>
  <c r="C108" i="1" s="1"/>
  <c r="R108" i="1"/>
  <c r="V108" i="1" s="1"/>
  <c r="Z108" i="1" s="1"/>
  <c r="M109" i="1"/>
  <c r="AF108" i="1"/>
  <c r="AC108" i="1"/>
  <c r="K108" i="1"/>
  <c r="Y108" i="1" s="1"/>
  <c r="M108" i="1"/>
  <c r="AF107" i="1"/>
  <c r="AC107" i="1"/>
  <c r="L107" i="1" s="1"/>
  <c r="K68" i="1"/>
  <c r="Y68" i="1" s="1"/>
  <c r="K69" i="1"/>
  <c r="Y69" i="1" s="1"/>
  <c r="K70" i="1"/>
  <c r="Y70" i="1" s="1"/>
  <c r="K71" i="1"/>
  <c r="Y71" i="1" s="1"/>
  <c r="K72" i="1"/>
  <c r="Y72" i="1" s="1"/>
  <c r="K73" i="1"/>
  <c r="K74" i="1"/>
  <c r="K75" i="1"/>
  <c r="K76" i="1"/>
  <c r="K77" i="1"/>
  <c r="K78" i="1"/>
  <c r="K79" i="1"/>
  <c r="K80" i="1"/>
  <c r="K81" i="1"/>
  <c r="K82" i="1"/>
  <c r="K83" i="1"/>
  <c r="K84" i="1"/>
  <c r="K85" i="1"/>
  <c r="K86" i="1"/>
  <c r="K87" i="1"/>
  <c r="K88" i="1"/>
  <c r="K89" i="1"/>
  <c r="K90" i="1"/>
  <c r="K91" i="1"/>
  <c r="K92" i="1"/>
  <c r="K93" i="1"/>
  <c r="M101" i="1"/>
  <c r="AB93" i="1"/>
  <c r="N93" i="1" s="1"/>
  <c r="AB92" i="1"/>
  <c r="N92" i="1" s="1"/>
  <c r="AB91" i="1"/>
  <c r="N91" i="1" s="1"/>
  <c r="AB90" i="1"/>
  <c r="N90" i="1" s="1"/>
  <c r="AB89" i="1"/>
  <c r="N89" i="1" s="1"/>
  <c r="AB88" i="1"/>
  <c r="N88" i="1" s="1"/>
  <c r="AB87" i="1"/>
  <c r="N87" i="1" s="1"/>
  <c r="AB86" i="1"/>
  <c r="N86" i="1" s="1"/>
  <c r="AB85" i="1"/>
  <c r="N85" i="1" s="1"/>
  <c r="AB84" i="1"/>
  <c r="N84" i="1" s="1"/>
  <c r="AB83" i="1"/>
  <c r="N83" i="1" s="1"/>
  <c r="AB82" i="1"/>
  <c r="N82" i="1" s="1"/>
  <c r="AB81" i="1"/>
  <c r="N81" i="1" s="1"/>
  <c r="AB80" i="1"/>
  <c r="N80" i="1" s="1"/>
  <c r="AB79" i="1"/>
  <c r="N79" i="1" s="1"/>
  <c r="AB78" i="1"/>
  <c r="N78" i="1" s="1"/>
  <c r="AB77" i="1"/>
  <c r="N77" i="1" s="1"/>
  <c r="AB76" i="1"/>
  <c r="N76" i="1" s="1"/>
  <c r="AB75" i="1"/>
  <c r="N75" i="1" s="1"/>
  <c r="AB74" i="1"/>
  <c r="N74" i="1" s="1"/>
  <c r="M74" i="1"/>
  <c r="AB73" i="1"/>
  <c r="N73" i="1" s="1"/>
  <c r="AB72" i="1"/>
  <c r="N72" i="1" s="1"/>
  <c r="M72" i="1"/>
  <c r="AB71" i="1"/>
  <c r="N71" i="1" s="1"/>
  <c r="M71" i="1"/>
  <c r="AB70" i="1"/>
  <c r="N70" i="1" s="1"/>
  <c r="M70" i="1"/>
  <c r="AB69" i="1"/>
  <c r="N69" i="1" s="1"/>
  <c r="M69" i="1"/>
  <c r="AB68" i="1"/>
  <c r="N68" i="1" s="1"/>
  <c r="M68" i="1"/>
  <c r="AD101" i="1"/>
  <c r="AD100" i="1"/>
  <c r="AD99" i="1"/>
  <c r="AF105" i="1"/>
  <c r="AF104" i="1"/>
  <c r="AF106"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H10" i="1"/>
  <c r="M6" i="1"/>
  <c r="M8" i="1"/>
  <c r="M7" i="1"/>
  <c r="V67" i="1"/>
  <c r="U67" i="1"/>
  <c r="M100" i="1" l="1"/>
  <c r="M73" i="1"/>
  <c r="M79" i="1"/>
  <c r="M77" i="1"/>
  <c r="M99" i="1"/>
  <c r="M106" i="1"/>
  <c r="Q10" i="3"/>
  <c r="R9" i="3"/>
  <c r="I25" i="3"/>
  <c r="H26" i="3"/>
  <c r="I9" i="3"/>
  <c r="H10" i="3"/>
  <c r="U9" i="3"/>
  <c r="T10" i="3"/>
  <c r="E10" i="3"/>
  <c r="F9" i="3"/>
  <c r="B43" i="3"/>
  <c r="C42" i="3"/>
  <c r="C9" i="3"/>
  <c r="B10" i="3"/>
  <c r="K10" i="3"/>
  <c r="N9" i="3"/>
  <c r="L9" i="3"/>
  <c r="O9" i="3" s="1"/>
  <c r="L10" i="2"/>
  <c r="M9" i="2"/>
  <c r="M34" i="2" s="1"/>
  <c r="L34" i="2"/>
  <c r="O10" i="2"/>
  <c r="P9" i="2"/>
  <c r="I23" i="2"/>
  <c r="J22" i="2"/>
  <c r="F10" i="2"/>
  <c r="G9" i="2"/>
  <c r="B50" i="2"/>
  <c r="C49" i="2"/>
  <c r="D49" i="2" s="1"/>
  <c r="B10" i="2"/>
  <c r="C9" i="2"/>
  <c r="D9" i="2" s="1"/>
  <c r="R10" i="2"/>
  <c r="S9" i="2"/>
  <c r="I10" i="2"/>
  <c r="J9" i="2"/>
  <c r="Y91" i="1"/>
  <c r="Y87" i="1"/>
  <c r="Y79" i="1"/>
  <c r="M75" i="1"/>
  <c r="Y92" i="1"/>
  <c r="Y88" i="1"/>
  <c r="Y84" i="1"/>
  <c r="Y80" i="1"/>
  <c r="Y76" i="1"/>
  <c r="T109" i="1"/>
  <c r="Y95" i="1"/>
  <c r="Y99" i="1"/>
  <c r="Y107" i="1"/>
  <c r="Y93" i="1"/>
  <c r="Y89" i="1"/>
  <c r="Y85" i="1"/>
  <c r="Y81" i="1"/>
  <c r="Y77" i="1"/>
  <c r="Y73" i="1"/>
  <c r="Y94" i="1"/>
  <c r="Y98" i="1"/>
  <c r="Y103" i="1"/>
  <c r="AC97" i="1"/>
  <c r="L97" i="1" s="1"/>
  <c r="Y97" i="1"/>
  <c r="M95" i="1"/>
  <c r="Y90" i="1"/>
  <c r="Y86" i="1"/>
  <c r="Y82" i="1"/>
  <c r="Y78" i="1"/>
  <c r="Y74" i="1"/>
  <c r="Y102" i="1"/>
  <c r="Y83" i="1"/>
  <c r="Y75" i="1"/>
  <c r="Y100" i="1"/>
  <c r="Y96" i="1"/>
  <c r="Y101" i="1"/>
  <c r="Y105" i="1"/>
  <c r="M76" i="1"/>
  <c r="M78" i="1"/>
  <c r="M80" i="1"/>
  <c r="M82" i="1"/>
  <c r="M84" i="1"/>
  <c r="M86" i="1"/>
  <c r="M88" i="1"/>
  <c r="M90" i="1"/>
  <c r="M92" i="1"/>
  <c r="M96" i="1"/>
  <c r="M83" i="1"/>
  <c r="M85" i="1"/>
  <c r="M87" i="1"/>
  <c r="M89" i="1"/>
  <c r="M91" i="1"/>
  <c r="B107" i="1"/>
  <c r="C107" i="1" s="1"/>
  <c r="B110" i="1"/>
  <c r="C110" i="1" s="1"/>
  <c r="AE101" i="1"/>
  <c r="D101" i="1" s="1"/>
  <c r="AE100" i="1"/>
  <c r="D100" i="1" s="1"/>
  <c r="H100" i="1" s="1"/>
  <c r="AE108" i="1"/>
  <c r="AE106" i="1"/>
  <c r="D106" i="1" s="1"/>
  <c r="AE104" i="1"/>
  <c r="AE102" i="1"/>
  <c r="AE97" i="1"/>
  <c r="AE95" i="1"/>
  <c r="AE93" i="1"/>
  <c r="AE91" i="1"/>
  <c r="AE89" i="1"/>
  <c r="AE87" i="1"/>
  <c r="D87" i="1" s="1"/>
  <c r="G87" i="1" s="1"/>
  <c r="AE85" i="1"/>
  <c r="D85" i="1" s="1"/>
  <c r="AE83" i="1"/>
  <c r="AE81" i="1"/>
  <c r="AE99" i="1"/>
  <c r="AE107" i="1"/>
  <c r="D107" i="1" s="1"/>
  <c r="AE105" i="1"/>
  <c r="AE103" i="1"/>
  <c r="AE98" i="1"/>
  <c r="AE96" i="1"/>
  <c r="AE94" i="1"/>
  <c r="AE92" i="1"/>
  <c r="AE90" i="1"/>
  <c r="D90" i="1" s="1"/>
  <c r="G90" i="1" s="1"/>
  <c r="AE88" i="1"/>
  <c r="AE86" i="1"/>
  <c r="AE84" i="1"/>
  <c r="AE82" i="1"/>
  <c r="D82" i="1" s="1"/>
  <c r="G82" i="1" s="1"/>
  <c r="AE80" i="1"/>
  <c r="AE78" i="1"/>
  <c r="AE76" i="1"/>
  <c r="AE74" i="1"/>
  <c r="D74" i="1" s="1"/>
  <c r="G74" i="1" s="1"/>
  <c r="AE72" i="1"/>
  <c r="D72" i="1" s="1"/>
  <c r="O72" i="1" s="1"/>
  <c r="AE70" i="1"/>
  <c r="AE68" i="1"/>
  <c r="D68" i="1" s="1"/>
  <c r="AE109" i="1"/>
  <c r="D109" i="1" s="1"/>
  <c r="AE79" i="1"/>
  <c r="D79" i="1" s="1"/>
  <c r="AE77" i="1"/>
  <c r="D77" i="1" s="1"/>
  <c r="AE75" i="1"/>
  <c r="AE73" i="1"/>
  <c r="D73" i="1" s="1"/>
  <c r="AE71" i="1"/>
  <c r="D71" i="1" s="1"/>
  <c r="AE69" i="1"/>
  <c r="T110" i="1"/>
  <c r="M97" i="1"/>
  <c r="M102" i="1"/>
  <c r="D108" i="1"/>
  <c r="M104" i="1"/>
  <c r="M103" i="1"/>
  <c r="D80" i="1"/>
  <c r="H80" i="1" s="1"/>
  <c r="T108" i="1"/>
  <c r="D97" i="1"/>
  <c r="R97" i="1" s="1"/>
  <c r="D84" i="1"/>
  <c r="D88" i="1"/>
  <c r="O100" i="1"/>
  <c r="AE110" i="1"/>
  <c r="D104" i="1"/>
  <c r="F100" i="1"/>
  <c r="D89" i="1"/>
  <c r="D78" i="1"/>
  <c r="F78" i="1" s="1"/>
  <c r="AC87" i="1"/>
  <c r="L87" i="1" s="1"/>
  <c r="AC79" i="1"/>
  <c r="L79" i="1" s="1"/>
  <c r="AC75" i="1"/>
  <c r="L75" i="1" s="1"/>
  <c r="M105" i="1"/>
  <c r="B105" i="1"/>
  <c r="C86" i="1"/>
  <c r="D86" i="1" s="1"/>
  <c r="G86" i="1" s="1"/>
  <c r="C99" i="1"/>
  <c r="C95" i="1"/>
  <c r="C70" i="1"/>
  <c r="D70" i="1" s="1"/>
  <c r="D103" i="1"/>
  <c r="C96" i="1"/>
  <c r="D96" i="1" s="1"/>
  <c r="G96" i="1" s="1"/>
  <c r="AC91" i="1"/>
  <c r="L91" i="1" s="1"/>
  <c r="AC83" i="1"/>
  <c r="L83" i="1" s="1"/>
  <c r="AC71" i="1"/>
  <c r="L71" i="1" s="1"/>
  <c r="B93" i="1"/>
  <c r="B98" i="1"/>
  <c r="M98" i="1"/>
  <c r="B81" i="1"/>
  <c r="R68" i="1"/>
  <c r="D92" i="1"/>
  <c r="C102" i="1"/>
  <c r="B94" i="1"/>
  <c r="M94" i="1"/>
  <c r="C76" i="1"/>
  <c r="D76" i="1" s="1"/>
  <c r="G76" i="1" s="1"/>
  <c r="H72" i="1"/>
  <c r="R72" i="1"/>
  <c r="AC92" i="1"/>
  <c r="L92" i="1" s="1"/>
  <c r="AC88" i="1"/>
  <c r="L88" i="1" s="1"/>
  <c r="AC84" i="1"/>
  <c r="L84" i="1" s="1"/>
  <c r="AC80" i="1"/>
  <c r="L80" i="1" s="1"/>
  <c r="AC76" i="1"/>
  <c r="L76" i="1" s="1"/>
  <c r="AC72" i="1"/>
  <c r="L72" i="1" s="1"/>
  <c r="AC68" i="1"/>
  <c r="L68" i="1" s="1"/>
  <c r="D75" i="1"/>
  <c r="G75" i="1" s="1"/>
  <c r="D69" i="1"/>
  <c r="AC93" i="1"/>
  <c r="L93" i="1" s="1"/>
  <c r="AC89" i="1"/>
  <c r="L89" i="1" s="1"/>
  <c r="AC85" i="1"/>
  <c r="L85" i="1" s="1"/>
  <c r="AC81" i="1"/>
  <c r="L81" i="1" s="1"/>
  <c r="AC77" i="1"/>
  <c r="L77" i="1" s="1"/>
  <c r="AC73" i="1"/>
  <c r="L73" i="1" s="1"/>
  <c r="AC69" i="1"/>
  <c r="L69" i="1" s="1"/>
  <c r="H71" i="1"/>
  <c r="R71" i="1"/>
  <c r="AC90" i="1"/>
  <c r="L90" i="1" s="1"/>
  <c r="AC86" i="1"/>
  <c r="L86" i="1" s="1"/>
  <c r="AC82" i="1"/>
  <c r="L82" i="1" s="1"/>
  <c r="AC78" i="1"/>
  <c r="L78" i="1" s="1"/>
  <c r="AC74" i="1"/>
  <c r="L74" i="1" s="1"/>
  <c r="AC70" i="1"/>
  <c r="L70" i="1" s="1"/>
  <c r="D91" i="1"/>
  <c r="G91" i="1" s="1"/>
  <c r="D83" i="1"/>
  <c r="G83" i="1" s="1"/>
  <c r="AC100" i="1"/>
  <c r="L100" i="1" s="1"/>
  <c r="R80" i="1" l="1"/>
  <c r="F97" i="1"/>
  <c r="H101" i="1"/>
  <c r="S101" i="1" s="1"/>
  <c r="F101" i="1"/>
  <c r="I101" i="1" s="1"/>
  <c r="R78" i="1"/>
  <c r="F68" i="1"/>
  <c r="G68" i="1"/>
  <c r="H68" i="1"/>
  <c r="F10" i="3"/>
  <c r="E11" i="3"/>
  <c r="R10" i="3"/>
  <c r="Q11" i="3"/>
  <c r="B11" i="3"/>
  <c r="C10" i="3"/>
  <c r="H11" i="3"/>
  <c r="I10" i="3"/>
  <c r="L10" i="3"/>
  <c r="O10" i="3" s="1"/>
  <c r="K11" i="3"/>
  <c r="N10" i="3"/>
  <c r="C43" i="3"/>
  <c r="B44" i="3"/>
  <c r="T11" i="3"/>
  <c r="U10" i="3"/>
  <c r="I26" i="3"/>
  <c r="H27" i="3"/>
  <c r="R11" i="2"/>
  <c r="S10" i="2"/>
  <c r="J23" i="2"/>
  <c r="I24" i="2"/>
  <c r="L35" i="2"/>
  <c r="L11" i="2"/>
  <c r="M10" i="2"/>
  <c r="M35" i="2" s="1"/>
  <c r="B51" i="2"/>
  <c r="C51" i="2" s="1"/>
  <c r="D51" i="2" s="1"/>
  <c r="C50" i="2"/>
  <c r="D50" i="2" s="1"/>
  <c r="I11" i="2"/>
  <c r="J10" i="2"/>
  <c r="B11" i="2"/>
  <c r="C10" i="2"/>
  <c r="D10" i="2" s="1"/>
  <c r="F11" i="2"/>
  <c r="G10" i="2"/>
  <c r="O11" i="2"/>
  <c r="P10" i="2"/>
  <c r="H79" i="1"/>
  <c r="S79" i="1" s="1"/>
  <c r="U79" i="1" s="1"/>
  <c r="G79" i="1"/>
  <c r="F79" i="1"/>
  <c r="P79" i="1" s="1"/>
  <c r="F92" i="1"/>
  <c r="Q92" i="1" s="1"/>
  <c r="G92" i="1"/>
  <c r="O85" i="1"/>
  <c r="G85" i="1"/>
  <c r="O84" i="1"/>
  <c r="G84" i="1"/>
  <c r="R73" i="1"/>
  <c r="G73" i="1"/>
  <c r="O109" i="1"/>
  <c r="G109" i="1"/>
  <c r="O106" i="1"/>
  <c r="G106" i="1"/>
  <c r="O89" i="1"/>
  <c r="G89" i="1"/>
  <c r="O88" i="1"/>
  <c r="G88" i="1"/>
  <c r="O80" i="1"/>
  <c r="G80" i="1"/>
  <c r="F107" i="1"/>
  <c r="G107" i="1"/>
  <c r="R103" i="1"/>
  <c r="G103" i="1"/>
  <c r="H78" i="1"/>
  <c r="S78" i="1" s="1"/>
  <c r="U78" i="1" s="1"/>
  <c r="G78" i="1"/>
  <c r="H104" i="1"/>
  <c r="G104" i="1"/>
  <c r="O108" i="1"/>
  <c r="G108" i="1"/>
  <c r="O77" i="1"/>
  <c r="G77" i="1"/>
  <c r="R100" i="1"/>
  <c r="G100" i="1"/>
  <c r="F80" i="1"/>
  <c r="I80" i="1" s="1"/>
  <c r="O101" i="1"/>
  <c r="G101" i="1"/>
  <c r="H97" i="1"/>
  <c r="S97" i="1" s="1"/>
  <c r="U97" i="1" s="1"/>
  <c r="G97" i="1"/>
  <c r="R87" i="1"/>
  <c r="H87" i="1"/>
  <c r="H84" i="1"/>
  <c r="S84" i="1" s="1"/>
  <c r="U84" i="1" s="1"/>
  <c r="R84" i="1"/>
  <c r="D99" i="1"/>
  <c r="G99" i="1" s="1"/>
  <c r="D110" i="1"/>
  <c r="O97" i="1"/>
  <c r="F88" i="1"/>
  <c r="Q88" i="1" s="1"/>
  <c r="R79" i="1"/>
  <c r="F109" i="1"/>
  <c r="I109" i="1" s="1"/>
  <c r="J109" i="1" s="1"/>
  <c r="H106" i="1"/>
  <c r="S106" i="1" s="1"/>
  <c r="U106" i="1" s="1"/>
  <c r="F103" i="1"/>
  <c r="H108" i="1"/>
  <c r="S108" i="1" s="1"/>
  <c r="U108" i="1" s="1"/>
  <c r="F108" i="1"/>
  <c r="P108" i="1" s="1"/>
  <c r="H109" i="1"/>
  <c r="S109" i="1" s="1"/>
  <c r="U109" i="1" s="1"/>
  <c r="F106" i="1"/>
  <c r="I106" i="1" s="1"/>
  <c r="J106" i="1" s="1"/>
  <c r="F84" i="1"/>
  <c r="P84" i="1" s="1"/>
  <c r="F104" i="1"/>
  <c r="F110" i="1"/>
  <c r="P110" i="1" s="1"/>
  <c r="R106" i="1"/>
  <c r="H88" i="1"/>
  <c r="S88" i="1" s="1"/>
  <c r="U88" i="1" s="1"/>
  <c r="R89" i="1"/>
  <c r="F72" i="1"/>
  <c r="Q72" i="1" s="1"/>
  <c r="R88" i="1"/>
  <c r="I107" i="1"/>
  <c r="J107" i="1" s="1"/>
  <c r="Q107" i="1"/>
  <c r="P107" i="1"/>
  <c r="O104" i="1"/>
  <c r="R104" i="1"/>
  <c r="Q106" i="1"/>
  <c r="P106" i="1"/>
  <c r="H107" i="1"/>
  <c r="S107" i="1" s="1"/>
  <c r="U107" i="1" s="1"/>
  <c r="R107" i="1"/>
  <c r="O107" i="1"/>
  <c r="T106" i="1"/>
  <c r="O68" i="1"/>
  <c r="O87" i="1"/>
  <c r="H89" i="1"/>
  <c r="S89" i="1" s="1"/>
  <c r="U89" i="1" s="1"/>
  <c r="V89" i="1" s="1"/>
  <c r="F89" i="1"/>
  <c r="R101" i="1"/>
  <c r="O71" i="1"/>
  <c r="O79" i="1"/>
  <c r="O78" i="1"/>
  <c r="F71" i="1"/>
  <c r="H73" i="1"/>
  <c r="S73" i="1" s="1"/>
  <c r="U73" i="1" s="1"/>
  <c r="F73" i="1"/>
  <c r="H85" i="1"/>
  <c r="S85" i="1" s="1"/>
  <c r="U85" i="1" s="1"/>
  <c r="F85" i="1"/>
  <c r="R85" i="1"/>
  <c r="F87" i="1"/>
  <c r="I100" i="1"/>
  <c r="J100" i="1" s="1"/>
  <c r="P100" i="1"/>
  <c r="Q100" i="1"/>
  <c r="H77" i="1"/>
  <c r="S77" i="1" s="1"/>
  <c r="U77" i="1" s="1"/>
  <c r="R77" i="1"/>
  <c r="F77" i="1"/>
  <c r="O73" i="1"/>
  <c r="H96" i="1"/>
  <c r="R96" i="1"/>
  <c r="O96" i="1"/>
  <c r="H83" i="1"/>
  <c r="R83" i="1"/>
  <c r="F83" i="1"/>
  <c r="O83" i="1"/>
  <c r="H70" i="1"/>
  <c r="O70" i="1"/>
  <c r="H75" i="1"/>
  <c r="R75" i="1"/>
  <c r="O75" i="1"/>
  <c r="S80" i="1"/>
  <c r="U80" i="1" s="1"/>
  <c r="V80" i="1" s="1"/>
  <c r="Q103" i="1"/>
  <c r="P103" i="1"/>
  <c r="I103" i="1"/>
  <c r="H76" i="1"/>
  <c r="R76" i="1"/>
  <c r="O76" i="1"/>
  <c r="I68" i="1"/>
  <c r="P68" i="1"/>
  <c r="Q68" i="1"/>
  <c r="C93" i="1"/>
  <c r="C94" i="1"/>
  <c r="F96" i="1"/>
  <c r="P92" i="1"/>
  <c r="F70" i="1"/>
  <c r="C105" i="1"/>
  <c r="R82" i="1"/>
  <c r="H82" i="1"/>
  <c r="F82" i="1"/>
  <c r="O82" i="1"/>
  <c r="Q101" i="1"/>
  <c r="P101" i="1"/>
  <c r="S100" i="1"/>
  <c r="I104" i="1"/>
  <c r="P104" i="1"/>
  <c r="Q104" i="1"/>
  <c r="R99" i="1"/>
  <c r="O99" i="1"/>
  <c r="S68" i="1"/>
  <c r="U68" i="1" s="1"/>
  <c r="V68" i="1" s="1"/>
  <c r="Z68" i="1" s="1"/>
  <c r="I88" i="1"/>
  <c r="I97" i="1"/>
  <c r="Q97" i="1"/>
  <c r="P97" i="1"/>
  <c r="C98" i="1"/>
  <c r="D95" i="1"/>
  <c r="F99" i="1"/>
  <c r="S104" i="1"/>
  <c r="U104" i="1" s="1"/>
  <c r="V97" i="1"/>
  <c r="F75" i="1"/>
  <c r="R70" i="1"/>
  <c r="S71" i="1"/>
  <c r="U71" i="1" s="1"/>
  <c r="R74" i="1"/>
  <c r="H74" i="1"/>
  <c r="O74" i="1"/>
  <c r="F74" i="1"/>
  <c r="S72" i="1"/>
  <c r="U72" i="1" s="1"/>
  <c r="I78" i="1"/>
  <c r="P78" i="1"/>
  <c r="Q78" i="1"/>
  <c r="R91" i="1"/>
  <c r="H91" i="1"/>
  <c r="F91" i="1"/>
  <c r="O91" i="1"/>
  <c r="R86" i="1"/>
  <c r="H86" i="1"/>
  <c r="O86" i="1"/>
  <c r="S87" i="1"/>
  <c r="U87" i="1" s="1"/>
  <c r="F69" i="1"/>
  <c r="O69" i="1"/>
  <c r="H69" i="1"/>
  <c r="H90" i="1"/>
  <c r="R90" i="1"/>
  <c r="F90" i="1"/>
  <c r="O90" i="1"/>
  <c r="F76" i="1"/>
  <c r="D102" i="1"/>
  <c r="H92" i="1"/>
  <c r="R92" i="1"/>
  <c r="O92" i="1"/>
  <c r="C81" i="1"/>
  <c r="H103" i="1"/>
  <c r="O103" i="1"/>
  <c r="F86" i="1"/>
  <c r="R69" i="1"/>
  <c r="P80" i="1" l="1"/>
  <c r="P88" i="1"/>
  <c r="V79" i="1"/>
  <c r="I92" i="1"/>
  <c r="Q80" i="1"/>
  <c r="H99" i="1"/>
  <c r="I84" i="1"/>
  <c r="J84" i="1" s="1"/>
  <c r="V84" i="1"/>
  <c r="Q84" i="1"/>
  <c r="V73" i="1"/>
  <c r="I110" i="1"/>
  <c r="I79" i="1"/>
  <c r="J79" i="1" s="1"/>
  <c r="I72" i="1"/>
  <c r="Q79" i="1"/>
  <c r="Q109" i="1"/>
  <c r="U11" i="3"/>
  <c r="T12" i="3"/>
  <c r="K12" i="3"/>
  <c r="N11" i="3"/>
  <c r="L11" i="3"/>
  <c r="O11" i="3" s="1"/>
  <c r="E12" i="3"/>
  <c r="F11" i="3"/>
  <c r="I27" i="3"/>
  <c r="H28" i="3"/>
  <c r="C11" i="3"/>
  <c r="B12" i="3"/>
  <c r="I11" i="3"/>
  <c r="H12" i="3"/>
  <c r="B45" i="3"/>
  <c r="C44" i="3"/>
  <c r="Q12" i="3"/>
  <c r="R11" i="3"/>
  <c r="R12" i="2"/>
  <c r="S11" i="2"/>
  <c r="F12" i="2"/>
  <c r="G11" i="2"/>
  <c r="I12" i="2"/>
  <c r="J11" i="2"/>
  <c r="L12" i="2"/>
  <c r="M11" i="2"/>
  <c r="M36" i="2" s="1"/>
  <c r="L36" i="2"/>
  <c r="O12" i="2"/>
  <c r="P11" i="2"/>
  <c r="B12" i="2"/>
  <c r="C11" i="2"/>
  <c r="D11" i="2" s="1"/>
  <c r="I25" i="2"/>
  <c r="J24" i="2"/>
  <c r="F102" i="1"/>
  <c r="G102" i="1"/>
  <c r="H110" i="1"/>
  <c r="S110" i="1" s="1"/>
  <c r="U110" i="1" s="1"/>
  <c r="G110" i="1"/>
  <c r="F95" i="1"/>
  <c r="Q95" i="1" s="1"/>
  <c r="G95" i="1"/>
  <c r="Q110" i="1"/>
  <c r="P72" i="1"/>
  <c r="O110" i="1"/>
  <c r="T73" i="1"/>
  <c r="T89" i="1"/>
  <c r="Q108" i="1"/>
  <c r="V106" i="1"/>
  <c r="P109" i="1"/>
  <c r="I108" i="1"/>
  <c r="J108" i="1" s="1"/>
  <c r="T97" i="1"/>
  <c r="T84" i="1"/>
  <c r="T79" i="1"/>
  <c r="V104" i="1"/>
  <c r="T104" i="1"/>
  <c r="V107" i="1"/>
  <c r="T107" i="1"/>
  <c r="T68" i="1"/>
  <c r="I77" i="1"/>
  <c r="J77" i="1" s="1"/>
  <c r="P77" i="1"/>
  <c r="Q77" i="1"/>
  <c r="I87" i="1"/>
  <c r="J87" i="1" s="1"/>
  <c r="P87" i="1"/>
  <c r="Q87" i="1"/>
  <c r="I71" i="1"/>
  <c r="J71" i="1" s="1"/>
  <c r="P71" i="1"/>
  <c r="Q71" i="1"/>
  <c r="I89" i="1"/>
  <c r="J89" i="1" s="1"/>
  <c r="Q89" i="1"/>
  <c r="P89" i="1"/>
  <c r="I85" i="1"/>
  <c r="J85" i="1" s="1"/>
  <c r="Q85" i="1"/>
  <c r="P85" i="1"/>
  <c r="V77" i="1"/>
  <c r="T77" i="1"/>
  <c r="T85" i="1"/>
  <c r="V85" i="1"/>
  <c r="I73" i="1"/>
  <c r="J73" i="1" s="1"/>
  <c r="Q73" i="1"/>
  <c r="P73" i="1"/>
  <c r="S92" i="1"/>
  <c r="U92" i="1" s="1"/>
  <c r="I86" i="1"/>
  <c r="P86" i="1"/>
  <c r="Q86" i="1"/>
  <c r="R102" i="1"/>
  <c r="O102" i="1"/>
  <c r="H102" i="1"/>
  <c r="J80" i="1"/>
  <c r="I90" i="1"/>
  <c r="P90" i="1"/>
  <c r="Q90" i="1"/>
  <c r="S90" i="1"/>
  <c r="U90" i="1" s="1"/>
  <c r="I69" i="1"/>
  <c r="Q69" i="1"/>
  <c r="P69" i="1"/>
  <c r="S91" i="1"/>
  <c r="U91" i="1" s="1"/>
  <c r="U101" i="1"/>
  <c r="T101" i="1"/>
  <c r="S74" i="1"/>
  <c r="U74" i="1" s="1"/>
  <c r="V74" i="1" s="1"/>
  <c r="I99" i="1"/>
  <c r="Q99" i="1"/>
  <c r="P99" i="1"/>
  <c r="J97" i="1"/>
  <c r="J88" i="1"/>
  <c r="U100" i="1"/>
  <c r="T100" i="1"/>
  <c r="J101" i="1"/>
  <c r="I82" i="1"/>
  <c r="P82" i="1"/>
  <c r="Q82" i="1"/>
  <c r="J92" i="1"/>
  <c r="J103" i="1"/>
  <c r="S83" i="1"/>
  <c r="U83" i="1" s="1"/>
  <c r="T78" i="1"/>
  <c r="V72" i="1"/>
  <c r="Z72" i="1" s="1"/>
  <c r="V71" i="1"/>
  <c r="Z71" i="1" s="1"/>
  <c r="T88" i="1"/>
  <c r="T87" i="1"/>
  <c r="S76" i="1"/>
  <c r="U76" i="1" s="1"/>
  <c r="V76" i="1" s="1"/>
  <c r="S75" i="1"/>
  <c r="U75" i="1" s="1"/>
  <c r="V75" i="1" s="1"/>
  <c r="V83" i="1"/>
  <c r="S86" i="1"/>
  <c r="U86" i="1" s="1"/>
  <c r="I74" i="1"/>
  <c r="P74" i="1"/>
  <c r="Q74" i="1"/>
  <c r="R95" i="1"/>
  <c r="H95" i="1"/>
  <c r="O95" i="1"/>
  <c r="S99" i="1"/>
  <c r="U99" i="1" s="1"/>
  <c r="V99" i="1" s="1"/>
  <c r="S82" i="1"/>
  <c r="U82" i="1" s="1"/>
  <c r="V82" i="1" s="1"/>
  <c r="D105" i="1"/>
  <c r="G105" i="1" s="1"/>
  <c r="I96" i="1"/>
  <c r="P96" i="1"/>
  <c r="Q96" i="1"/>
  <c r="J68" i="1"/>
  <c r="S70" i="1"/>
  <c r="U70" i="1" s="1"/>
  <c r="Q83" i="1"/>
  <c r="P83" i="1"/>
  <c r="I83" i="1"/>
  <c r="V78" i="1"/>
  <c r="T72" i="1"/>
  <c r="T71" i="1"/>
  <c r="V88" i="1"/>
  <c r="V87" i="1"/>
  <c r="I91" i="1"/>
  <c r="Q91" i="1"/>
  <c r="P91" i="1"/>
  <c r="D98" i="1"/>
  <c r="J104" i="1"/>
  <c r="I70" i="1"/>
  <c r="P70" i="1"/>
  <c r="Q70" i="1"/>
  <c r="D94" i="1"/>
  <c r="D81" i="1"/>
  <c r="I102" i="1"/>
  <c r="P102" i="1"/>
  <c r="Q102" i="1"/>
  <c r="I76" i="1"/>
  <c r="P76" i="1"/>
  <c r="Q76" i="1"/>
  <c r="V90" i="1"/>
  <c r="T90" i="1"/>
  <c r="S103" i="1"/>
  <c r="S69" i="1"/>
  <c r="U69" i="1" s="1"/>
  <c r="V91" i="1"/>
  <c r="T91" i="1"/>
  <c r="J110" i="1"/>
  <c r="J78" i="1"/>
  <c r="Q75" i="1"/>
  <c r="P75" i="1"/>
  <c r="I75" i="1"/>
  <c r="D93" i="1"/>
  <c r="G93" i="1" s="1"/>
  <c r="J72" i="1"/>
  <c r="S96" i="1"/>
  <c r="U96" i="1" s="1"/>
  <c r="T80" i="1"/>
  <c r="I95" i="1" l="1"/>
  <c r="P95" i="1"/>
  <c r="C45" i="3"/>
  <c r="B46" i="3"/>
  <c r="F12" i="3"/>
  <c r="E13" i="3"/>
  <c r="T13" i="3"/>
  <c r="U12" i="3"/>
  <c r="B13" i="3"/>
  <c r="C12" i="3"/>
  <c r="L12" i="3"/>
  <c r="O12" i="3" s="1"/>
  <c r="K13" i="3"/>
  <c r="N12" i="3"/>
  <c r="H13" i="3"/>
  <c r="I12" i="3"/>
  <c r="I28" i="3"/>
  <c r="H29" i="3"/>
  <c r="I29" i="3" s="1"/>
  <c r="R12" i="3"/>
  <c r="Q13" i="3"/>
  <c r="I13" i="2"/>
  <c r="J12" i="2"/>
  <c r="R13" i="2"/>
  <c r="S12" i="2"/>
  <c r="I26" i="2"/>
  <c r="J25" i="2"/>
  <c r="O13" i="2"/>
  <c r="P12" i="2"/>
  <c r="L37" i="2"/>
  <c r="L13" i="2"/>
  <c r="M12" i="2"/>
  <c r="M37" i="2" s="1"/>
  <c r="F13" i="2"/>
  <c r="G12" i="2"/>
  <c r="B13" i="2"/>
  <c r="C12" i="2"/>
  <c r="D12" i="2" s="1"/>
  <c r="F81" i="1"/>
  <c r="P81" i="1" s="1"/>
  <c r="G81" i="1"/>
  <c r="F94" i="1"/>
  <c r="P94" i="1" s="1"/>
  <c r="G94" i="1"/>
  <c r="F98" i="1"/>
  <c r="I98" i="1" s="1"/>
  <c r="G98" i="1"/>
  <c r="T82" i="1"/>
  <c r="T76" i="1"/>
  <c r="U103" i="1"/>
  <c r="V103" i="1" s="1"/>
  <c r="T103" i="1"/>
  <c r="F105" i="1"/>
  <c r="P105" i="1" s="1"/>
  <c r="R105" i="1"/>
  <c r="T99" i="1"/>
  <c r="T75" i="1"/>
  <c r="T83" i="1"/>
  <c r="T86" i="1"/>
  <c r="R93" i="1"/>
  <c r="H93" i="1"/>
  <c r="O93" i="1"/>
  <c r="J74" i="1"/>
  <c r="J86" i="1"/>
  <c r="H81" i="1"/>
  <c r="R81" i="1"/>
  <c r="O81" i="1"/>
  <c r="J70" i="1"/>
  <c r="P98" i="1"/>
  <c r="Q98" i="1"/>
  <c r="J95" i="1"/>
  <c r="J91" i="1"/>
  <c r="H105" i="1"/>
  <c r="O105" i="1"/>
  <c r="J82" i="1"/>
  <c r="V100" i="1"/>
  <c r="J69" i="1"/>
  <c r="T96" i="1"/>
  <c r="F93" i="1"/>
  <c r="V92" i="1"/>
  <c r="T70" i="1"/>
  <c r="V69" i="1"/>
  <c r="J102" i="1"/>
  <c r="S95" i="1"/>
  <c r="U95" i="1" s="1"/>
  <c r="V95" i="1" s="1"/>
  <c r="H98" i="1"/>
  <c r="R98" i="1"/>
  <c r="O98" i="1"/>
  <c r="J83" i="1"/>
  <c r="J96" i="1"/>
  <c r="J99" i="1"/>
  <c r="V101" i="1"/>
  <c r="S102" i="1"/>
  <c r="U102" i="1" s="1"/>
  <c r="V102" i="1" s="1"/>
  <c r="T74" i="1"/>
  <c r="V96" i="1"/>
  <c r="V86" i="1"/>
  <c r="J75" i="1"/>
  <c r="J76" i="1"/>
  <c r="I105" i="1"/>
  <c r="Q105" i="1"/>
  <c r="H94" i="1"/>
  <c r="O94" i="1"/>
  <c r="R94" i="1"/>
  <c r="J90" i="1"/>
  <c r="T92" i="1"/>
  <c r="V70" i="1"/>
  <c r="Z70" i="1" s="1"/>
  <c r="T69" i="1"/>
  <c r="I81" i="1" l="1"/>
  <c r="Q81" i="1"/>
  <c r="Q94" i="1"/>
  <c r="I13" i="3"/>
  <c r="H14" i="3"/>
  <c r="E14" i="3"/>
  <c r="F13" i="3"/>
  <c r="Q14" i="3"/>
  <c r="R13" i="3"/>
  <c r="U13" i="3"/>
  <c r="T14" i="3"/>
  <c r="K14" i="3"/>
  <c r="N13" i="3"/>
  <c r="L13" i="3"/>
  <c r="O13" i="3" s="1"/>
  <c r="B47" i="3"/>
  <c r="C46" i="3"/>
  <c r="C13" i="3"/>
  <c r="B14" i="3"/>
  <c r="F14" i="2"/>
  <c r="G13" i="2"/>
  <c r="J26" i="2"/>
  <c r="I27" i="2"/>
  <c r="I14" i="2"/>
  <c r="J13" i="2"/>
  <c r="B14" i="2"/>
  <c r="C13" i="2"/>
  <c r="D13" i="2" s="1"/>
  <c r="L14" i="2"/>
  <c r="M13" i="2"/>
  <c r="M38" i="2" s="1"/>
  <c r="L38" i="2"/>
  <c r="O14" i="2"/>
  <c r="P13" i="2"/>
  <c r="R14" i="2"/>
  <c r="S13" i="2"/>
  <c r="I94" i="1"/>
  <c r="J94" i="1" s="1"/>
  <c r="Z69" i="1"/>
  <c r="T95" i="1"/>
  <c r="T102" i="1"/>
  <c r="S81" i="1"/>
  <c r="U81" i="1" s="1"/>
  <c r="V81" i="1" s="1"/>
  <c r="J98" i="1"/>
  <c r="J81" i="1"/>
  <c r="S98" i="1"/>
  <c r="U98" i="1" s="1"/>
  <c r="V98" i="1" s="1"/>
  <c r="S94" i="1"/>
  <c r="U94" i="1" s="1"/>
  <c r="J105" i="1"/>
  <c r="I93" i="1"/>
  <c r="P93" i="1"/>
  <c r="Q93" i="1"/>
  <c r="S105" i="1"/>
  <c r="U105" i="1" s="1"/>
  <c r="V105" i="1" s="1"/>
  <c r="S93" i="1"/>
  <c r="U93" i="1" s="1"/>
  <c r="H15" i="3" l="1"/>
  <c r="I14" i="3"/>
  <c r="C47" i="3"/>
  <c r="B48" i="3"/>
  <c r="T15" i="3"/>
  <c r="U14" i="3"/>
  <c r="L14" i="3"/>
  <c r="O14" i="3" s="1"/>
  <c r="K15" i="3"/>
  <c r="N14" i="3"/>
  <c r="R14" i="3"/>
  <c r="Q15" i="3"/>
  <c r="B15" i="3"/>
  <c r="C14" i="3"/>
  <c r="F14" i="3"/>
  <c r="E15" i="3"/>
  <c r="B15" i="2"/>
  <c r="C14" i="2"/>
  <c r="D14" i="2" s="1"/>
  <c r="O15" i="2"/>
  <c r="P14" i="2"/>
  <c r="I28" i="2"/>
  <c r="J28" i="2" s="1"/>
  <c r="J27" i="2"/>
  <c r="L39" i="2"/>
  <c r="L15" i="2"/>
  <c r="M14" i="2"/>
  <c r="M39" i="2" s="1"/>
  <c r="I15" i="2"/>
  <c r="J14" i="2"/>
  <c r="F15" i="2"/>
  <c r="G14" i="2"/>
  <c r="R15" i="2"/>
  <c r="S14" i="2"/>
  <c r="T105" i="1"/>
  <c r="T81" i="1"/>
  <c r="V94" i="1"/>
  <c r="Z94" i="1" s="1"/>
  <c r="V93" i="1"/>
  <c r="T98" i="1"/>
  <c r="T93" i="1"/>
  <c r="J93" i="1"/>
  <c r="T94" i="1"/>
  <c r="E16" i="3" l="1"/>
  <c r="F15" i="3"/>
  <c r="Q16" i="3"/>
  <c r="R15" i="3"/>
  <c r="C15" i="3"/>
  <c r="B16" i="3"/>
  <c r="K16" i="3"/>
  <c r="N15" i="3"/>
  <c r="L15" i="3"/>
  <c r="O15" i="3" s="1"/>
  <c r="U15" i="3"/>
  <c r="T16" i="3"/>
  <c r="I15" i="3"/>
  <c r="H16" i="3"/>
  <c r="B49" i="3"/>
  <c r="C49" i="3" s="1"/>
  <c r="C48" i="3"/>
  <c r="I16" i="2"/>
  <c r="J15" i="2"/>
  <c r="O16" i="2"/>
  <c r="P15" i="2"/>
  <c r="F16" i="2"/>
  <c r="G15" i="2"/>
  <c r="L16" i="2"/>
  <c r="M15" i="2"/>
  <c r="M40" i="2" s="1"/>
  <c r="L40" i="2"/>
  <c r="B16" i="2"/>
  <c r="C15" i="2"/>
  <c r="D15" i="2" s="1"/>
  <c r="R16" i="2"/>
  <c r="S15" i="2"/>
  <c r="Z93" i="1"/>
  <c r="Z73" i="1"/>
  <c r="Z95" i="1"/>
  <c r="Z87" i="1"/>
  <c r="Z102" i="1"/>
  <c r="Z84" i="1"/>
  <c r="Z81" i="1"/>
  <c r="Z80" i="1"/>
  <c r="Z104" i="1"/>
  <c r="Z92" i="1"/>
  <c r="Z89" i="1"/>
  <c r="Z105" i="1"/>
  <c r="Z97" i="1"/>
  <c r="Z98" i="1"/>
  <c r="Z90" i="1"/>
  <c r="Z88" i="1"/>
  <c r="Z74" i="1"/>
  <c r="Z106" i="1"/>
  <c r="Z85" i="1"/>
  <c r="Z78" i="1"/>
  <c r="Z99" i="1"/>
  <c r="Z83" i="1"/>
  <c r="Z77" i="1"/>
  <c r="Z86" i="1"/>
  <c r="Z91" i="1"/>
  <c r="Z82" i="1"/>
  <c r="Z76" i="1"/>
  <c r="Z107" i="1"/>
  <c r="Z75" i="1"/>
  <c r="Z101" i="1"/>
  <c r="Z103" i="1"/>
  <c r="Z96" i="1"/>
  <c r="Z100" i="1"/>
  <c r="Z79" i="1"/>
  <c r="L16" i="3" l="1"/>
  <c r="O16" i="3" s="1"/>
  <c r="K17" i="3"/>
  <c r="N16" i="3"/>
  <c r="H17" i="3"/>
  <c r="I16" i="3"/>
  <c r="F16" i="3"/>
  <c r="E17" i="3"/>
  <c r="T17" i="3"/>
  <c r="U16" i="3"/>
  <c r="B17" i="3"/>
  <c r="C16" i="3"/>
  <c r="R16" i="3"/>
  <c r="Q17" i="3"/>
  <c r="F17" i="2"/>
  <c r="G16" i="2"/>
  <c r="I17" i="2"/>
  <c r="J17" i="2" s="1"/>
  <c r="J16" i="2"/>
  <c r="R17" i="2"/>
  <c r="S16" i="2"/>
  <c r="B17" i="2"/>
  <c r="C16" i="2"/>
  <c r="D16" i="2" s="1"/>
  <c r="L41" i="2"/>
  <c r="L17" i="2"/>
  <c r="M16" i="2"/>
  <c r="M41" i="2" s="1"/>
  <c r="O17" i="2"/>
  <c r="P16" i="2"/>
  <c r="U17" i="3" l="1"/>
  <c r="T18" i="3"/>
  <c r="Q18" i="3"/>
  <c r="R17" i="3"/>
  <c r="C17" i="3"/>
  <c r="B18" i="3"/>
  <c r="K18" i="3"/>
  <c r="N17" i="3"/>
  <c r="L17" i="3"/>
  <c r="O17" i="3" s="1"/>
  <c r="E18" i="3"/>
  <c r="F17" i="3"/>
  <c r="I17" i="3"/>
  <c r="H18" i="3"/>
  <c r="B18" i="2"/>
  <c r="C17" i="2"/>
  <c r="D17" i="2" s="1"/>
  <c r="R18" i="2"/>
  <c r="S17" i="2"/>
  <c r="F18" i="2"/>
  <c r="G17" i="2"/>
  <c r="L18" i="2"/>
  <c r="M17" i="2"/>
  <c r="M42" i="2" s="1"/>
  <c r="L42" i="2"/>
  <c r="P17" i="2"/>
  <c r="O18" i="2"/>
  <c r="H19" i="3" l="1"/>
  <c r="I18" i="3"/>
  <c r="F18" i="3"/>
  <c r="E19" i="3"/>
  <c r="B19" i="3"/>
  <c r="C18" i="3"/>
  <c r="T19" i="3"/>
  <c r="U18" i="3"/>
  <c r="L18" i="3"/>
  <c r="O18" i="3" s="1"/>
  <c r="K19" i="3"/>
  <c r="N18" i="3"/>
  <c r="R18" i="3"/>
  <c r="Q19" i="3"/>
  <c r="P18" i="2"/>
  <c r="O19" i="2"/>
  <c r="L19" i="2"/>
  <c r="L43" i="2"/>
  <c r="M18" i="2"/>
  <c r="M43" i="2" s="1"/>
  <c r="R19" i="2"/>
  <c r="S18" i="2"/>
  <c r="F19" i="2"/>
  <c r="G18" i="2"/>
  <c r="C18" i="2"/>
  <c r="D18" i="2" s="1"/>
  <c r="B19" i="2"/>
  <c r="K20" i="3" l="1"/>
  <c r="N19" i="3"/>
  <c r="L19" i="3"/>
  <c r="O19" i="3" s="1"/>
  <c r="U19" i="3"/>
  <c r="T20" i="3"/>
  <c r="E20" i="3"/>
  <c r="F19" i="3"/>
  <c r="Q20" i="3"/>
  <c r="R19" i="3"/>
  <c r="C19" i="3"/>
  <c r="B20" i="3"/>
  <c r="I19" i="3"/>
  <c r="H20" i="3"/>
  <c r="R20" i="2"/>
  <c r="S19" i="2"/>
  <c r="O20" i="2"/>
  <c r="P19" i="2"/>
  <c r="C19" i="2"/>
  <c r="D19" i="2" s="1"/>
  <c r="B20" i="2"/>
  <c r="L44" i="2"/>
  <c r="L20" i="2"/>
  <c r="M19" i="2"/>
  <c r="M44" i="2" s="1"/>
  <c r="F20" i="2"/>
  <c r="G19" i="2"/>
  <c r="F20" i="3" l="1"/>
  <c r="E21" i="3"/>
  <c r="B21" i="3"/>
  <c r="C20" i="3"/>
  <c r="R20" i="3"/>
  <c r="Q21" i="3"/>
  <c r="H21" i="3"/>
  <c r="I21" i="3" s="1"/>
  <c r="I20" i="3"/>
  <c r="T21" i="3"/>
  <c r="U20" i="3"/>
  <c r="L20" i="3"/>
  <c r="O20" i="3" s="1"/>
  <c r="K21" i="3"/>
  <c r="N20" i="3"/>
  <c r="F21" i="2"/>
  <c r="G20" i="2"/>
  <c r="B21" i="2"/>
  <c r="C20" i="2"/>
  <c r="D20" i="2" s="1"/>
  <c r="O21" i="2"/>
  <c r="P20" i="2"/>
  <c r="L45" i="2"/>
  <c r="L21" i="2"/>
  <c r="M20" i="2"/>
  <c r="M45" i="2" s="1"/>
  <c r="R21" i="2"/>
  <c r="S20" i="2"/>
  <c r="N21" i="3" l="1"/>
  <c r="K22" i="3"/>
  <c r="L21" i="3"/>
  <c r="O21" i="3" s="1"/>
  <c r="T22" i="3"/>
  <c r="U21" i="3"/>
  <c r="Q22" i="3"/>
  <c r="R21" i="3"/>
  <c r="E22" i="3"/>
  <c r="F21" i="3"/>
  <c r="C21" i="3"/>
  <c r="B22" i="3"/>
  <c r="L22" i="2"/>
  <c r="M21" i="2"/>
  <c r="M46" i="2" s="1"/>
  <c r="L46" i="2"/>
  <c r="O22" i="2"/>
  <c r="P21" i="2"/>
  <c r="F22" i="2"/>
  <c r="G21" i="2"/>
  <c r="R22" i="2"/>
  <c r="S21" i="2"/>
  <c r="B22" i="2"/>
  <c r="C21" i="2"/>
  <c r="D21" i="2" s="1"/>
  <c r="B23" i="3" l="1"/>
  <c r="C22" i="3"/>
  <c r="E23" i="3"/>
  <c r="F22" i="3"/>
  <c r="T23" i="3"/>
  <c r="U22" i="3"/>
  <c r="Q23" i="3"/>
  <c r="R22" i="3"/>
  <c r="N22" i="3"/>
  <c r="K23" i="3"/>
  <c r="L22" i="3"/>
  <c r="O22" i="3" s="1"/>
  <c r="F23" i="2"/>
  <c r="G23" i="2" s="1"/>
  <c r="G22" i="2"/>
  <c r="R23" i="2"/>
  <c r="S22" i="2"/>
  <c r="O23" i="2"/>
  <c r="P22" i="2"/>
  <c r="L23" i="2"/>
  <c r="M22" i="2"/>
  <c r="M47" i="2" s="1"/>
  <c r="L47" i="2"/>
  <c r="B23" i="2"/>
  <c r="C22" i="2"/>
  <c r="D22" i="2" s="1"/>
  <c r="L23" i="3" l="1"/>
  <c r="O23" i="3" s="1"/>
  <c r="K24" i="3"/>
  <c r="N23" i="3"/>
  <c r="R23" i="3"/>
  <c r="Q24" i="3"/>
  <c r="E24" i="3"/>
  <c r="F24" i="3" s="1"/>
  <c r="F23" i="3"/>
  <c r="U23" i="3"/>
  <c r="T24" i="3"/>
  <c r="B24" i="3"/>
  <c r="C23" i="3"/>
  <c r="B24" i="2"/>
  <c r="C23" i="2"/>
  <c r="D23" i="2" s="1"/>
  <c r="L24" i="2"/>
  <c r="M23" i="2"/>
  <c r="M48" i="2" s="1"/>
  <c r="L48" i="2"/>
  <c r="R24" i="2"/>
  <c r="S23" i="2"/>
  <c r="P23" i="2"/>
  <c r="O24" i="2"/>
  <c r="C24" i="3" l="1"/>
  <c r="B25" i="3"/>
  <c r="K25" i="3"/>
  <c r="L24" i="3"/>
  <c r="O24" i="3" s="1"/>
  <c r="N24" i="3"/>
  <c r="U24" i="3"/>
  <c r="T25" i="3"/>
  <c r="Q25" i="3"/>
  <c r="R24" i="3"/>
  <c r="S24" i="2"/>
  <c r="R25" i="2"/>
  <c r="L49" i="2"/>
  <c r="M24" i="2"/>
  <c r="M49" i="2" s="1"/>
  <c r="L25" i="2"/>
  <c r="O25" i="2"/>
  <c r="P24" i="2"/>
  <c r="C24" i="2"/>
  <c r="D24" i="2" s="1"/>
  <c r="B25" i="2"/>
  <c r="B26" i="3" l="1"/>
  <c r="C25" i="3"/>
  <c r="U25" i="3"/>
  <c r="T26" i="3"/>
  <c r="K26" i="3"/>
  <c r="L25" i="3"/>
  <c r="O25" i="3" s="1"/>
  <c r="N25" i="3"/>
  <c r="Q26" i="3"/>
  <c r="R25" i="3"/>
  <c r="O26" i="2"/>
  <c r="P25" i="2"/>
  <c r="S25" i="2"/>
  <c r="R26" i="2"/>
  <c r="B26" i="2"/>
  <c r="C25" i="2"/>
  <c r="D25" i="2" s="1"/>
  <c r="M25" i="2"/>
  <c r="M50" i="2" s="1"/>
  <c r="L50" i="2"/>
  <c r="L26" i="2"/>
  <c r="Q27" i="3" l="1"/>
  <c r="R26" i="3"/>
  <c r="U26" i="3"/>
  <c r="T27" i="3"/>
  <c r="K27" i="3"/>
  <c r="L26" i="3"/>
  <c r="O26" i="3" s="1"/>
  <c r="N26" i="3"/>
  <c r="B27" i="3"/>
  <c r="C26" i="3"/>
  <c r="R27" i="2"/>
  <c r="S26" i="2"/>
  <c r="L51" i="2"/>
  <c r="M26" i="2"/>
  <c r="M51" i="2" s="1"/>
  <c r="B27" i="2"/>
  <c r="C26" i="2"/>
  <c r="D26" i="2" s="1"/>
  <c r="O27" i="2"/>
  <c r="P26" i="2"/>
  <c r="K28" i="3" l="1"/>
  <c r="L27" i="3"/>
  <c r="O27" i="3" s="1"/>
  <c r="N27" i="3"/>
  <c r="Q28" i="3"/>
  <c r="R27" i="3"/>
  <c r="B28" i="3"/>
  <c r="C27" i="3"/>
  <c r="U27" i="3"/>
  <c r="T28" i="3"/>
  <c r="R28" i="2"/>
  <c r="S27" i="2"/>
  <c r="B28" i="2"/>
  <c r="C27" i="2"/>
  <c r="D27" i="2" s="1"/>
  <c r="O28" i="2"/>
  <c r="P27" i="2"/>
  <c r="Q29" i="3" l="1"/>
  <c r="R28" i="3"/>
  <c r="U28" i="3"/>
  <c r="T29" i="3"/>
  <c r="K29" i="3"/>
  <c r="L28" i="3"/>
  <c r="O28" i="3" s="1"/>
  <c r="N28" i="3"/>
  <c r="B29" i="3"/>
  <c r="C28" i="3"/>
  <c r="O29" i="2"/>
  <c r="P28" i="2"/>
  <c r="S28" i="2"/>
  <c r="R29" i="2"/>
  <c r="B29" i="2"/>
  <c r="C28" i="2"/>
  <c r="D28" i="2" s="1"/>
  <c r="B30" i="3" l="1"/>
  <c r="C29" i="3"/>
  <c r="U29" i="3"/>
  <c r="T30" i="3"/>
  <c r="L29" i="3"/>
  <c r="O29" i="3" s="1"/>
  <c r="K30" i="3"/>
  <c r="N29" i="3"/>
  <c r="R29" i="3"/>
  <c r="Q30" i="3"/>
  <c r="S29" i="2"/>
  <c r="R30" i="2"/>
  <c r="B30" i="2"/>
  <c r="C29" i="2"/>
  <c r="D29" i="2" s="1"/>
  <c r="O30" i="2"/>
  <c r="P29" i="2"/>
  <c r="L30" i="3" l="1"/>
  <c r="O30" i="3" s="1"/>
  <c r="K31" i="3"/>
  <c r="N30" i="3"/>
  <c r="U30" i="3"/>
  <c r="T31" i="3"/>
  <c r="R30" i="3"/>
  <c r="Q31" i="3"/>
  <c r="C30" i="3"/>
  <c r="B31" i="3"/>
  <c r="R31" i="2"/>
  <c r="S30" i="2"/>
  <c r="B31" i="2"/>
  <c r="C30" i="2"/>
  <c r="D30" i="2" s="1"/>
  <c r="O31" i="2"/>
  <c r="P30" i="2"/>
  <c r="R31" i="3" l="1"/>
  <c r="Q32" i="3"/>
  <c r="C31" i="3"/>
  <c r="B32" i="3"/>
  <c r="U31" i="3"/>
  <c r="T32" i="3"/>
  <c r="L31" i="3"/>
  <c r="O31" i="3" s="1"/>
  <c r="K32" i="3"/>
  <c r="N31" i="3"/>
  <c r="B32" i="2"/>
  <c r="C31" i="2"/>
  <c r="D31" i="2" s="1"/>
  <c r="O32" i="2"/>
  <c r="P31" i="2"/>
  <c r="R32" i="2"/>
  <c r="S31" i="2"/>
  <c r="U32" i="3" l="1"/>
  <c r="T33" i="3"/>
  <c r="R32" i="3"/>
  <c r="Q33" i="3"/>
  <c r="L32" i="3"/>
  <c r="O32" i="3" s="1"/>
  <c r="K33" i="3"/>
  <c r="N32" i="3"/>
  <c r="C32" i="3"/>
  <c r="B33" i="3"/>
  <c r="O33" i="2"/>
  <c r="P32" i="2"/>
  <c r="R33" i="2"/>
  <c r="S32" i="2"/>
  <c r="B33" i="2"/>
  <c r="C32" i="2"/>
  <c r="D32" i="2" s="1"/>
  <c r="L33" i="3" l="1"/>
  <c r="O33" i="3" s="1"/>
  <c r="K34" i="3"/>
  <c r="N33" i="3"/>
  <c r="U33" i="3"/>
  <c r="T34" i="3"/>
  <c r="C33" i="3"/>
  <c r="B34" i="3"/>
  <c r="R33" i="3"/>
  <c r="Q34" i="3"/>
  <c r="R34" i="2"/>
  <c r="S33" i="2"/>
  <c r="B34" i="2"/>
  <c r="C33" i="2"/>
  <c r="D33" i="2" s="1"/>
  <c r="O34" i="2"/>
  <c r="P33" i="2"/>
  <c r="L34" i="3" l="1"/>
  <c r="O34" i="3" s="1"/>
  <c r="K35" i="3"/>
  <c r="N34" i="3"/>
  <c r="C34" i="3"/>
  <c r="B35" i="3"/>
  <c r="R34" i="3"/>
  <c r="Q35" i="3"/>
  <c r="U34" i="3"/>
  <c r="T35" i="3"/>
  <c r="B35" i="2"/>
  <c r="C34" i="2"/>
  <c r="D34" i="2" s="1"/>
  <c r="O35" i="2"/>
  <c r="P35" i="2" s="1"/>
  <c r="P34" i="2"/>
  <c r="R35" i="2"/>
  <c r="S34" i="2"/>
  <c r="L35" i="3" l="1"/>
  <c r="O35" i="3" s="1"/>
  <c r="K36" i="3"/>
  <c r="N35" i="3"/>
  <c r="R35" i="3"/>
  <c r="Q36" i="3"/>
  <c r="U35" i="3"/>
  <c r="T36" i="3"/>
  <c r="C35" i="3"/>
  <c r="B36" i="3"/>
  <c r="S35" i="2"/>
  <c r="R36" i="2"/>
  <c r="B36" i="2"/>
  <c r="C35" i="2"/>
  <c r="D35" i="2" s="1"/>
  <c r="L36" i="3" l="1"/>
  <c r="O36" i="3" s="1"/>
  <c r="K37" i="3"/>
  <c r="N36" i="3"/>
  <c r="T37" i="3"/>
  <c r="U36" i="3"/>
  <c r="C36" i="3"/>
  <c r="B37" i="3"/>
  <c r="R36" i="3"/>
  <c r="Q37" i="3"/>
  <c r="S36" i="2"/>
  <c r="R37" i="2"/>
  <c r="B37" i="2"/>
  <c r="C36" i="2"/>
  <c r="D36" i="2" s="1"/>
  <c r="C37" i="3" l="1"/>
  <c r="B38" i="3"/>
  <c r="C38" i="3" s="1"/>
  <c r="T38" i="3"/>
  <c r="U37" i="3"/>
  <c r="R37" i="3"/>
  <c r="Q38" i="3"/>
  <c r="K38" i="3"/>
  <c r="L37" i="3"/>
  <c r="R38" i="2"/>
  <c r="S37" i="2"/>
  <c r="B38" i="2"/>
  <c r="C37" i="2"/>
  <c r="D37" i="2" s="1"/>
  <c r="R38" i="3" l="1"/>
  <c r="Q39" i="3"/>
  <c r="L38" i="3"/>
  <c r="K39" i="3"/>
  <c r="U38" i="3"/>
  <c r="T39" i="3"/>
  <c r="C38" i="2"/>
  <c r="D38" i="2" s="1"/>
  <c r="B39" i="2"/>
  <c r="R39" i="2"/>
  <c r="S38" i="2"/>
  <c r="U39" i="3" l="1"/>
  <c r="T40" i="3"/>
  <c r="Q40" i="3"/>
  <c r="R40" i="3" s="1"/>
  <c r="R39" i="3"/>
  <c r="L39" i="3"/>
  <c r="K40" i="3"/>
  <c r="C39" i="2"/>
  <c r="D39" i="2" s="1"/>
  <c r="B40" i="2"/>
  <c r="S39" i="2"/>
  <c r="R40" i="2"/>
  <c r="K41" i="3" l="1"/>
  <c r="L40" i="3"/>
  <c r="T41" i="3"/>
  <c r="U40" i="3"/>
  <c r="B41" i="2"/>
  <c r="C40" i="2"/>
  <c r="D40" i="2" s="1"/>
  <c r="S40" i="2"/>
  <c r="R41" i="2"/>
  <c r="U41" i="3" l="1"/>
  <c r="T42" i="3"/>
  <c r="K42" i="3"/>
  <c r="L41" i="3"/>
  <c r="R42" i="2"/>
  <c r="S41" i="2"/>
  <c r="B42" i="2"/>
  <c r="C41" i="2"/>
  <c r="D41" i="2" s="1"/>
  <c r="T43" i="3" l="1"/>
  <c r="U42" i="3"/>
  <c r="L42" i="3"/>
  <c r="K43" i="3"/>
  <c r="C42" i="2"/>
  <c r="D42" i="2" s="1"/>
  <c r="B43" i="2"/>
  <c r="R43" i="2"/>
  <c r="S42" i="2"/>
  <c r="U43" i="3" l="1"/>
  <c r="T44" i="3"/>
  <c r="K44" i="3"/>
  <c r="L43" i="3"/>
  <c r="S43" i="2"/>
  <c r="R44" i="2"/>
  <c r="S44" i="2" s="1"/>
  <c r="C43" i="2"/>
  <c r="D43" i="2" s="1"/>
  <c r="B44" i="2"/>
  <c r="C44" i="2" s="1"/>
  <c r="D44" i="2" s="1"/>
  <c r="T45" i="3" l="1"/>
  <c r="U44" i="3"/>
  <c r="L44" i="3"/>
  <c r="K45" i="3"/>
  <c r="U45" i="3" l="1"/>
  <c r="T46" i="3"/>
  <c r="K46" i="3"/>
  <c r="L45" i="3"/>
  <c r="T47" i="3" l="1"/>
  <c r="U46" i="3"/>
  <c r="L46" i="3"/>
  <c r="K47" i="3"/>
  <c r="K48" i="3" l="1"/>
  <c r="L47" i="3"/>
  <c r="U47" i="3"/>
  <c r="T48" i="3"/>
  <c r="U48" i="3" s="1"/>
  <c r="L48" i="3" l="1"/>
  <c r="K49" i="3"/>
  <c r="L49" i="3" s="1"/>
</calcChain>
</file>

<file path=xl/comments1.xml><?xml version="1.0" encoding="utf-8"?>
<comments xmlns="http://schemas.openxmlformats.org/spreadsheetml/2006/main">
  <authors>
    <author>REVIEWER</author>
    <author>aa</author>
  </authors>
  <commentList>
    <comment ref="H7" authorId="0">
      <text>
        <r>
          <rPr>
            <b/>
            <sz val="18"/>
            <color indexed="81"/>
            <rFont val="Tahoma"/>
            <family val="2"/>
          </rPr>
          <t>Note: you may be billed for electricity based on peak power draw plus total power usage, which is different from this method of calculating 'average' fan costs. 
Also, Some farms may be billed for kVa rather than kW.</t>
        </r>
      </text>
    </comment>
    <comment ref="H8" authorId="0">
      <text>
        <r>
          <rPr>
            <b/>
            <sz val="18"/>
            <color indexed="81"/>
            <rFont val="Tahoma"/>
            <family val="2"/>
          </rPr>
          <t>Use the calculator in the purple cells to the right to estimate fan operating hours for your sheds based on what has been measured at Broiler sheds in Qld, NSW and Vic.</t>
        </r>
      </text>
    </comment>
    <comment ref="D10" authorId="0">
      <text>
        <r>
          <rPr>
            <b/>
            <sz val="8"/>
            <color indexed="81"/>
            <rFont val="Tahoma"/>
            <family val="2"/>
          </rPr>
          <t xml:space="preserve">
</t>
        </r>
        <r>
          <rPr>
            <b/>
            <sz val="18"/>
            <color indexed="81"/>
            <rFont val="Tahoma"/>
            <family val="2"/>
          </rPr>
          <t>Note: if you have ceiling baffles, set the 'Ceiling Peak Height' to the height of the baffle above the shed floor.</t>
        </r>
      </text>
    </comment>
    <comment ref="D11" authorId="0">
      <text>
        <r>
          <rPr>
            <b/>
            <sz val="18"/>
            <color indexed="81"/>
            <rFont val="Tahoma"/>
            <family val="2"/>
          </rPr>
          <t>Note: Dropped ceilings are used in the United States but rarely seen in Australia.</t>
        </r>
      </text>
    </comment>
    <comment ref="H11" authorId="0">
      <text>
        <r>
          <rPr>
            <b/>
            <sz val="18"/>
            <color indexed="81"/>
            <rFont val="Tahoma"/>
            <family val="2"/>
          </rPr>
          <t>If you wish to calculate the number of fans required to achieve the 'Minimum Design Air Velocity', use the value in the orange box to the right, otherwise use '0' (zero)</t>
        </r>
      </text>
    </comment>
    <comment ref="K64" authorId="0">
      <text>
        <r>
          <rPr>
            <b/>
            <sz val="18"/>
            <color indexed="81"/>
            <rFont val="Tahoma"/>
            <family val="2"/>
          </rPr>
          <t>Refer to the above table for ratings</t>
        </r>
      </text>
    </comment>
    <comment ref="B66" authorId="0">
      <text>
        <r>
          <rPr>
            <b/>
            <sz val="18"/>
            <color indexed="81"/>
            <rFont val="Tahoma"/>
            <family val="2"/>
          </rPr>
          <t>This is the pressure at the fans, so will usually be greater than the shed static pressure</t>
        </r>
      </text>
    </comment>
    <comment ref="G66" authorId="0">
      <text>
        <r>
          <rPr>
            <b/>
            <sz val="18"/>
            <color indexed="81"/>
            <rFont val="Tahoma"/>
            <family val="2"/>
          </rPr>
          <t>Note: if calculating peak power load, you may need to use the power consumption at higher static pressure - refer to your fan test report</t>
        </r>
      </text>
    </comment>
    <comment ref="O67" authorId="1">
      <text>
        <r>
          <rPr>
            <sz val="18"/>
            <color indexed="81"/>
            <rFont val="Tahoma"/>
            <family val="2"/>
          </rPr>
          <t xml:space="preserve">Based on </t>
        </r>
        <r>
          <rPr>
            <i/>
            <sz val="18"/>
            <color indexed="81"/>
            <rFont val="Tahoma"/>
            <family val="2"/>
          </rPr>
          <t xml:space="preserve">Poultry Housing Tips—Pad System Cooling, Installation and Management. </t>
        </r>
        <r>
          <rPr>
            <sz val="18"/>
            <color indexed="81"/>
            <rFont val="Tahoma"/>
            <family val="2"/>
          </rPr>
          <t>(July 2001, vol. 13 No.8 — 1m² per 6858 m³/hr</t>
        </r>
      </text>
    </comment>
    <comment ref="P67" authorId="1">
      <text>
        <r>
          <rPr>
            <sz val="18"/>
            <color indexed="81"/>
            <rFont val="Tahoma"/>
            <family val="2"/>
          </rPr>
          <t xml:space="preserve">Based on </t>
        </r>
        <r>
          <rPr>
            <i/>
            <sz val="18"/>
            <color indexed="81"/>
            <rFont val="Tahoma"/>
            <family val="2"/>
          </rPr>
          <t>Poultry Housing Tips—Six-inch pad system water usage and pipe sizing</t>
        </r>
        <r>
          <rPr>
            <sz val="18"/>
            <color indexed="81"/>
            <rFont val="Tahoma"/>
            <family val="2"/>
          </rPr>
          <t xml:space="preserve">. (June 2006, vol. 18 No.6
</t>
        </r>
      </text>
    </comment>
  </commentList>
</comments>
</file>

<file path=xl/sharedStrings.xml><?xml version="1.0" encoding="utf-8"?>
<sst xmlns="http://schemas.openxmlformats.org/spreadsheetml/2006/main" count="211" uniqueCount="171">
  <si>
    <t>Energy Eff.</t>
  </si>
  <si>
    <t>Pressure</t>
  </si>
  <si>
    <t>Input poultry house information</t>
  </si>
  <si>
    <t>Rating</t>
  </si>
  <si>
    <t>Change minimum fan capacity ("0" if you don't wish to modify)</t>
  </si>
  <si>
    <t>velocity check</t>
  </si>
  <si>
    <t>Tunnel Fan Model</t>
  </si>
  <si>
    <t>Energy Efficiency</t>
  </si>
  <si>
    <t>Price of Fan</t>
  </si>
  <si>
    <t>Air Flow Ratio</t>
  </si>
  <si>
    <t>poor</t>
  </si>
  <si>
    <t>Less than 0.70</t>
  </si>
  <si>
    <t>!</t>
  </si>
  <si>
    <t>min. acceptable</t>
  </si>
  <si>
    <t>0.70 - 0.72</t>
  </si>
  <si>
    <t>*</t>
  </si>
  <si>
    <t>good</t>
  </si>
  <si>
    <t>0.73 - 0.77</t>
  </si>
  <si>
    <t>* *</t>
  </si>
  <si>
    <t>excellent</t>
  </si>
  <si>
    <t>0.78 - 0.82</t>
  </si>
  <si>
    <t>* * *</t>
  </si>
  <si>
    <t>outstanding</t>
  </si>
  <si>
    <t>0.83 +</t>
  </si>
  <si>
    <t>* * * *</t>
  </si>
  <si>
    <t>Model #</t>
  </si>
  <si>
    <t>Design static</t>
  </si>
  <si>
    <t>Tunnel Fan</t>
  </si>
  <si>
    <t>Number of fans</t>
  </si>
  <si>
    <t xml:space="preserve">Total air moving capacity </t>
  </si>
  <si>
    <t>Total fan operating</t>
  </si>
  <si>
    <t>pressure</t>
  </si>
  <si>
    <t>capacity</t>
  </si>
  <si>
    <t>required *</t>
  </si>
  <si>
    <t>at design static pressure</t>
  </si>
  <si>
    <t>(all fans operating)</t>
  </si>
  <si>
    <t>Total Pad Area</t>
  </si>
  <si>
    <t>Pad water usage</t>
  </si>
  <si>
    <t>Five Year</t>
  </si>
  <si>
    <t>Ten Year</t>
  </si>
  <si>
    <t>Estimated Yearly Operating Hours per fan =</t>
  </si>
  <si>
    <t>o</t>
  </si>
  <si>
    <t>Minimum Design Air Velocity (m/s) =</t>
  </si>
  <si>
    <t>House Length (m) =</t>
  </si>
  <si>
    <t>House Width (m) =</t>
  </si>
  <si>
    <t>Side Wall Height (m) =</t>
  </si>
  <si>
    <t>Ceiling Peak Height (m) =</t>
  </si>
  <si>
    <t>Open/Dropped Ceiling (o/d) (m) =</t>
  </si>
  <si>
    <t>Less than 32.3</t>
  </si>
  <si>
    <t>32.3 - 33.8</t>
  </si>
  <si>
    <t>34.0 - 35.5</t>
  </si>
  <si>
    <t>35.7 - 37.2</t>
  </si>
  <si>
    <t>37.4 +</t>
  </si>
  <si>
    <t>m³/h per watt @ 25 Pa</t>
  </si>
  <si>
    <t>(minimum for
150mm thick pad)</t>
  </si>
  <si>
    <t>(32.2°C - 50% Rh)</t>
  </si>
  <si>
    <t>(37.8°C - 20 % Rh)</t>
  </si>
  <si>
    <t>(m³/h/watt @ 25Pa)</t>
  </si>
  <si>
    <t>(@ 25 Pa)</t>
  </si>
  <si>
    <t>air flow (12 Pa)</t>
  </si>
  <si>
    <t xml:space="preserve">Airflow for Evap </t>
  </si>
  <si>
    <t>cooling Calcs</t>
  </si>
  <si>
    <t>@ 25 Pa</t>
  </si>
  <si>
    <t>Energy Effic.</t>
  </si>
  <si>
    <t>Airflow</t>
  </si>
  <si>
    <t>Ratio</t>
  </si>
  <si>
    <t>10 Yr  Cost</t>
  </si>
  <si>
    <t>Maximum length of typical batch</t>
  </si>
  <si>
    <t>Number of batches per year</t>
  </si>
  <si>
    <t>Maximum hours (on average) per fan per year</t>
  </si>
  <si>
    <t>Minimum hours (on average) per fan per year</t>
  </si>
  <si>
    <t>Calculator to assist with the prediction of fan hours based on fan monitoring data collected in Australia</t>
  </si>
  <si>
    <t>Calculated number of production days per year</t>
  </si>
  <si>
    <t>RANKINGS – all fans</t>
  </si>
  <si>
    <t>RATINGS</t>
  </si>
  <si>
    <t>EVAPORATIVE COOLING PAD REQUIREMENTS</t>
  </si>
  <si>
    <t>TOTAL FAN RUNNING COSTS PER SHED</t>
  </si>
  <si>
    <t>Purchase cost</t>
  </si>
  <si>
    <t>Electricity</t>
  </si>
  <si>
    <t>Total</t>
  </si>
  <si>
    <t>m³/hr for velocity</t>
  </si>
  <si>
    <t>Data Source</t>
  </si>
  <si>
    <r>
      <t xml:space="preserve">Minimum </t>
    </r>
    <r>
      <rPr>
        <b/>
        <i/>
        <sz val="18"/>
        <rFont val="Arial"/>
        <family val="2"/>
      </rPr>
      <t>recommended fan capacity m³/hr (air exchange) =</t>
    </r>
  </si>
  <si>
    <t>Electricity Rate ($ per kW·h) =</t>
  </si>
  <si>
    <t xml:space="preserve">Air flow (50Pa) / </t>
  </si>
  <si>
    <t>($, excl. GST)</t>
  </si>
  <si>
    <t>BESS test 02466</t>
  </si>
  <si>
    <t>BESS test 08257a</t>
  </si>
  <si>
    <t>BESS test 09248</t>
  </si>
  <si>
    <t>BESS test 09257</t>
  </si>
  <si>
    <t>BESS test 99160</t>
  </si>
  <si>
    <t>Multifan MF130 0.75kW (50.5", 1.0hp, 3 blade)</t>
  </si>
  <si>
    <t>Multifan MF130 1.12 kW (50.5", 1.5 hp, 3 blade)</t>
  </si>
  <si>
    <t>BESS test 05334</t>
  </si>
  <si>
    <t>BESS test 07090</t>
  </si>
  <si>
    <t>BESS test 12123</t>
  </si>
  <si>
    <t xml:space="preserve">BESS test 12126 </t>
  </si>
  <si>
    <t>BESS test 12136</t>
  </si>
  <si>
    <t>BESS test 12138</t>
  </si>
  <si>
    <t>American Coolair MNBFA54N (60Hz) 2hp</t>
  </si>
  <si>
    <t>American Coolair MNBFA54M (60Hz) 1.5hp)</t>
  </si>
  <si>
    <t>American Coolair MNBFA54L (60Hz) 1hp</t>
  </si>
  <si>
    <t>American Coolair MNCFE52L (60Hz) 1hp</t>
  </si>
  <si>
    <t>American Coolair MNBF60M (60Hz) 1.5 hp</t>
  </si>
  <si>
    <t>Hired Hand 6603-7403 52" (60Hz) CONE 1hp</t>
  </si>
  <si>
    <t>Hired Hand 6603-6527 52.5" - Butterfly damper (60Hz) CONE 1hp</t>
  </si>
  <si>
    <t>Hired Hand 6603-3000 52.5" - CONE 1.5hp</t>
  </si>
  <si>
    <t>Hired Hand 6603-8010 54" - CONE 1.5hp</t>
  </si>
  <si>
    <t>American Coolair MNBFC60M (60Hz) CONE 1.5 hp</t>
  </si>
  <si>
    <t>American Coolair MNCFC52L (60Hz) CONE 1hp</t>
  </si>
  <si>
    <t>Multifan MF130 0.75 kW (50.5", 1.0 hp, 3 blade) CONE</t>
  </si>
  <si>
    <t>Multifan MF130 1.12 kW (50.5", 1.5 hp, 3 blade) CONE</t>
  </si>
  <si>
    <t>American Coolair MNBCCE54L (60 Hz) CONE 1hp</t>
  </si>
  <si>
    <t>INSERT FAN NAME AND DATA HERE</t>
  </si>
  <si>
    <t>Air Flow (m³/hour)</t>
  </si>
  <si>
    <t>Est. Wind-chill @ 29.4°C</t>
  </si>
  <si>
    <t>Change number</t>
  </si>
  <si>
    <t xml:space="preserve"> of fans? (no=0)</t>
  </si>
  <si>
    <t>Air velocity</t>
  </si>
  <si>
    <t>Power Consumption</t>
  </si>
  <si>
    <t>All fans @ 25 Pa</t>
  </si>
  <si>
    <r>
      <rPr>
        <b/>
        <sz val="24"/>
        <rFont val="Arial"/>
        <family val="2"/>
      </rPr>
      <t>Input — tunnel fan information</t>
    </r>
    <r>
      <rPr>
        <b/>
        <sz val="20"/>
        <rFont val="Arial"/>
        <family val="2"/>
      </rPr>
      <t xml:space="preserve">
Obtain the most recent data for the fans you are considering from independent test report (available from your fan supplier).
</t>
    </r>
    <r>
      <rPr>
        <sz val="20"/>
        <rFont val="Arial"/>
        <family val="2"/>
      </rPr>
      <t>Note: air flow data and fan prices listed below were obtained prior to April 2012</t>
    </r>
  </si>
  <si>
    <t>cost (yearly)</t>
  </si>
  <si>
    <r>
      <rPr>
        <b/>
        <sz val="24"/>
        <rFont val="Arial"/>
        <family val="2"/>
      </rPr>
      <t xml:space="preserve">Output — Per Shed 
</t>
    </r>
    <r>
      <rPr>
        <b/>
        <sz val="20"/>
        <rFont val="Arial"/>
        <family val="2"/>
      </rPr>
      <t>Check that fan numbers and air velocity meet your requirements, 
then see how the fans compare !</t>
    </r>
  </si>
  <si>
    <t>Calculated fan capacity based on in-shed 'Minimum Design Air Velocity</t>
  </si>
  <si>
    <t>To convert Imperial/English units into metric, type the Imperial/English value into the yellow cell and read the metric value from the cell with blue text</t>
  </si>
  <si>
    <t>Flow rate</t>
  </si>
  <si>
    <t>Speed</t>
  </si>
  <si>
    <t>Distance</t>
  </si>
  <si>
    <t>Temperature</t>
  </si>
  <si>
    <t>CFM</t>
  </si>
  <si>
    <t>m³/h</t>
  </si>
  <si>
    <t>m³/s</t>
  </si>
  <si>
    <t>feet/min</t>
  </si>
  <si>
    <t>m/s</t>
  </si>
  <si>
    <t>ft</t>
  </si>
  <si>
    <t>m</t>
  </si>
  <si>
    <t>CFM per watt</t>
  </si>
  <si>
    <t>m³/h per watt</t>
  </si>
  <si>
    <r>
      <t>inch H</t>
    </r>
    <r>
      <rPr>
        <b/>
        <vertAlign val="subscript"/>
        <sz val="10"/>
        <rFont val="Arial"/>
        <family val="2"/>
      </rPr>
      <t>2</t>
    </r>
    <r>
      <rPr>
        <b/>
        <sz val="10"/>
        <rFont val="Arial"/>
        <family val="2"/>
      </rPr>
      <t>O</t>
    </r>
  </si>
  <si>
    <t>Pa</t>
  </si>
  <si>
    <t>°F</t>
  </si>
  <si>
    <t>°C</t>
  </si>
  <si>
    <t>Watts per CFM</t>
  </si>
  <si>
    <t>Watts per m³/h</t>
  </si>
  <si>
    <t>To convert metric units into Imperial/English, type the metric value into the yellow cell and read the Imperial/English value from the cell with blue text</t>
  </si>
  <si>
    <t>Flow Rate</t>
  </si>
  <si>
    <r>
      <t xml:space="preserve">Enter green values in all sections (don't enter "$" or  "," ). </t>
    </r>
    <r>
      <rPr>
        <b/>
        <sz val="18"/>
        <color indexed="17"/>
        <rFont val="Arial"/>
        <family val="2"/>
      </rPr>
      <t>Imperial to metric conversions on the attached worksheets</t>
    </r>
  </si>
  <si>
    <t>Energy Efficiency and Air Flow Ratio ratings</t>
  </si>
  <si>
    <t>Munters Euroemme EM50 - 1hp</t>
  </si>
  <si>
    <t>BESS test 02333</t>
  </si>
  <si>
    <t>Munters Euroemme EM50 - 1.5hp</t>
  </si>
  <si>
    <t>BESS test 02332</t>
  </si>
  <si>
    <t>Munters Euroemme  EC-50 (60Hz, 1 phase) CONE 1hp</t>
  </si>
  <si>
    <t>BESS test 02335</t>
  </si>
  <si>
    <t>Munters Euroemme  EC-50 CONE 1.5hp</t>
  </si>
  <si>
    <t>BESS test 02334</t>
  </si>
  <si>
    <t>Munters WF541V3CD-50 – Butterfly damper, 54" (1hp, CONE)</t>
  </si>
  <si>
    <t>BESS test 11353</t>
  </si>
  <si>
    <t>Munters WF501V3CD-50 – Butterfly damper, 50" (1hp, CONE)</t>
  </si>
  <si>
    <t>BESS test 11351</t>
  </si>
  <si>
    <t>Munters WF5015V3CD-50 – Butterfly damper, 50" (1.5hp, CONE)</t>
  </si>
  <si>
    <t>Best test 11352</t>
  </si>
  <si>
    <t>American Coolair brochure Jan 2010 (ANSI/AMCA Standard  210-07)</t>
  </si>
  <si>
    <t>American Coolair MNBFA48L (60Hz) 1hp with CONE</t>
  </si>
  <si>
    <t>American Coolair brochure Oct 2007 (ANSI/AMCA Standard  210-99)</t>
  </si>
  <si>
    <t>BESS test 10240</t>
  </si>
  <si>
    <t>Chore-Time 52157-51 (54", 1.5hp, 3 blade) CONE</t>
  </si>
  <si>
    <t>BESS test 09084</t>
  </si>
  <si>
    <t>Tunnel Ventilation Fan Comparison Spreadsheet</t>
  </si>
  <si>
    <r>
      <t xml:space="preserve">Adapted from </t>
    </r>
    <r>
      <rPr>
        <b/>
        <sz val="19"/>
        <color rgb="FF000000"/>
        <rFont val="Calibri"/>
        <family val="2"/>
      </rPr>
      <t xml:space="preserve">'Tunnel Fan Comparison Spreadsheet 2014', </t>
    </r>
    <r>
      <rPr>
        <sz val="19"/>
        <color rgb="FF953735"/>
        <rFont val="Calibri"/>
        <family val="2"/>
      </rPr>
      <t>The University of Georgia - Michael Czarick</t>
    </r>
    <r>
      <rPr>
        <sz val="19"/>
        <color rgb="FF000000"/>
        <rFont val="Calibri"/>
        <family val="2"/>
      </rPr>
      <t xml:space="preserve"> (</t>
    </r>
    <r>
      <rPr>
        <u/>
        <sz val="19"/>
        <color rgb="FF000000"/>
        <rFont val="Calibri"/>
        <family val="2"/>
      </rPr>
      <t>mczarick@uga.edu</t>
    </r>
    <r>
      <rPr>
        <sz val="19"/>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</si>
</sst>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quot;$&quot;#,##0.00"/>
    <numFmt numFmtId="165" formatCode="0.0"/>
    <numFmt numFmtId="166" formatCode="&quot;$&quot;#,##0"/>
    <numFmt numFmtId="167" formatCode="#,##0.0"/>
    <numFmt numFmtId="168" formatCode="#\ &quot;ft^2&quot;"/>
    <numFmt numFmtId="169" formatCode="&quot;$&quot;#,##0;[Red]&quot;$&quot;#,##0"/>
    <numFmt numFmtId="170" formatCode="[$$-409]#,##0_);[Red]\([$$-409]#,##0\)"/>
    <numFmt numFmtId="171" formatCode="#,##0\ &quot;m³/h&quot;"/>
    <numFmt numFmtId="172" formatCode="#,###\ &quot;m²&quot;"/>
    <numFmt numFmtId="173" formatCode="#.#\ &quot;L/hour&quot;"/>
    <numFmt numFmtId="174" formatCode="&quot;Fan&quot;\ #"/>
    <numFmt numFmtId="175" formatCode="#.00\ &quot;m/s&quot;"/>
    <numFmt numFmtId="176" formatCode="&quot;$&quot;#,##0.0;[Red]&quot;$&quot;#,##0.0"/>
    <numFmt numFmtId="177" formatCode="&quot;$&quot;#,##0.00;[Red]&quot;$&quot;#,##0.00"/>
    <numFmt numFmtId="178" formatCode=";;;"/>
    <numFmt numFmtId="179" formatCode="#,##0.0\ &quot;kW&quot;"/>
    <numFmt numFmtId="180" formatCode="#,###\ \ &quot;m³/h&quot;"/>
    <numFmt numFmtId="181" formatCode="0.000"/>
  </numFmts>
  <fonts count="46" x14ac:knownFonts="1">
    <font>
      <sz val="10"/>
      <name val="Arial"/>
    </font>
    <font>
      <b/>
      <i/>
      <sz val="36"/>
      <name val="Arial"/>
      <family val="2"/>
    </font>
    <font>
      <b/>
      <i/>
      <sz val="16"/>
      <name val="Arial"/>
      <family val="2"/>
    </font>
    <font>
      <b/>
      <sz val="12"/>
      <color indexed="10"/>
      <name val="Arial"/>
      <family val="2"/>
    </font>
    <font>
      <b/>
      <sz val="22"/>
      <color indexed="17"/>
      <name val="Arial"/>
      <family val="2"/>
    </font>
    <font>
      <sz val="22"/>
      <name val="Arial"/>
      <family val="2"/>
    </font>
    <font>
      <b/>
      <sz val="12"/>
      <name val="Arial"/>
      <family val="2"/>
    </font>
    <font>
      <b/>
      <sz val="20"/>
      <color indexed="17"/>
      <name val="Arial"/>
      <family val="2"/>
    </font>
    <font>
      <b/>
      <sz val="20"/>
      <name val="Arial"/>
      <family val="2"/>
    </font>
    <font>
      <b/>
      <i/>
      <sz val="18"/>
      <name val="Arial"/>
      <family val="2"/>
    </font>
    <font>
      <b/>
      <i/>
      <sz val="18"/>
      <color indexed="17"/>
      <name val="Arial"/>
      <family val="2"/>
    </font>
    <font>
      <sz val="18"/>
      <name val="Arial"/>
      <family val="2"/>
    </font>
    <font>
      <b/>
      <i/>
      <sz val="14"/>
      <name val="Arial"/>
      <family val="2"/>
    </font>
    <font>
      <b/>
      <i/>
      <sz val="18"/>
      <color indexed="10"/>
      <name val="Arial"/>
      <family val="2"/>
    </font>
    <font>
      <b/>
      <sz val="15"/>
      <name val="Arial"/>
      <family val="2"/>
    </font>
    <font>
      <sz val="10"/>
      <color indexed="17"/>
      <name val="Arial"/>
      <family val="2"/>
    </font>
    <font>
      <b/>
      <sz val="18"/>
      <color indexed="17"/>
      <name val="Arial"/>
      <family val="2"/>
    </font>
    <font>
      <b/>
      <sz val="16"/>
      <color indexed="17"/>
      <name val="Arial"/>
      <family val="2"/>
    </font>
    <font>
      <b/>
      <sz val="18"/>
      <name val="Arial"/>
      <family val="2"/>
    </font>
    <font>
      <b/>
      <sz val="16"/>
      <name val="Arial"/>
      <family val="2"/>
    </font>
    <font>
      <sz val="16"/>
      <name val="Arial"/>
      <family val="2"/>
    </font>
    <font>
      <b/>
      <sz val="18"/>
      <color indexed="12"/>
      <name val="Arial"/>
      <family val="2"/>
    </font>
    <font>
      <u/>
      <sz val="6"/>
      <color indexed="12"/>
      <name val="Arial"/>
      <family val="2"/>
    </font>
    <font>
      <sz val="10"/>
      <name val="Arial"/>
      <family val="2"/>
    </font>
    <font>
      <sz val="8"/>
      <name val="Arial"/>
      <family val="2"/>
    </font>
    <font>
      <sz val="18"/>
      <color indexed="81"/>
      <name val="Tahoma"/>
      <family val="2"/>
    </font>
    <font>
      <i/>
      <sz val="18"/>
      <color indexed="81"/>
      <name val="Tahoma"/>
      <family val="2"/>
    </font>
    <font>
      <sz val="15"/>
      <name val="Arial"/>
      <family val="2"/>
    </font>
    <font>
      <sz val="15"/>
      <name val="Arial"/>
      <family val="2"/>
    </font>
    <font>
      <sz val="18"/>
      <name val="Arial"/>
      <family val="2"/>
    </font>
    <font>
      <b/>
      <sz val="15"/>
      <color rgb="FF0070C0"/>
      <name val="Arial"/>
      <family val="2"/>
    </font>
    <font>
      <b/>
      <sz val="8"/>
      <color indexed="81"/>
      <name val="Tahoma"/>
      <family val="2"/>
    </font>
    <font>
      <b/>
      <sz val="18"/>
      <color indexed="81"/>
      <name val="Tahoma"/>
      <family val="2"/>
    </font>
    <font>
      <b/>
      <sz val="18"/>
      <color rgb="FF008000"/>
      <name val="Arial"/>
      <family val="2"/>
    </font>
    <font>
      <b/>
      <sz val="15"/>
      <color rgb="FF008000"/>
      <name val="Arial"/>
      <family val="2"/>
    </font>
    <font>
      <b/>
      <sz val="12"/>
      <color rgb="FF008000"/>
      <name val="Arial"/>
      <family val="2"/>
    </font>
    <font>
      <sz val="20"/>
      <name val="Arial"/>
      <family val="2"/>
    </font>
    <font>
      <b/>
      <sz val="24"/>
      <name val="Arial"/>
      <family val="2"/>
    </font>
    <font>
      <sz val="19"/>
      <color rgb="FF000000"/>
      <name val="Calibri"/>
      <family val="2"/>
    </font>
    <font>
      <b/>
      <sz val="19"/>
      <color rgb="FF000000"/>
      <name val="Calibri"/>
      <family val="2"/>
    </font>
    <font>
      <sz val="19"/>
      <color rgb="FF953735"/>
      <name val="Calibri"/>
      <family val="2"/>
    </font>
    <font>
      <u/>
      <sz val="19"/>
      <color rgb="FF000000"/>
      <name val="Calibri"/>
      <family val="2"/>
    </font>
    <font>
      <b/>
      <sz val="10"/>
      <name val="Arial"/>
      <family val="2"/>
    </font>
    <font>
      <b/>
      <sz val="14"/>
      <name val="Arial"/>
      <family val="2"/>
    </font>
    <font>
      <b/>
      <vertAlign val="subscript"/>
      <sz val="10"/>
      <name val="Arial"/>
      <family val="2"/>
    </font>
    <font>
      <sz val="10"/>
      <color indexed="12"/>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rgb="FFFFC000"/>
        <bgColor indexed="64"/>
      </patternFill>
    </fill>
    <fill>
      <patternFill patternType="solid">
        <fgColor rgb="FFFFFF0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22" fillId="0" borderId="0" applyNumberFormat="0" applyFill="0" applyBorder="0" applyAlignment="0" applyProtection="0">
      <alignment vertical="top"/>
      <protection locked="0"/>
    </xf>
    <xf numFmtId="0" fontId="23" fillId="0" borderId="0"/>
  </cellStyleXfs>
  <cellXfs count="436">
    <xf numFmtId="0" fontId="0" fillId="0" borderId="0" xfId="0"/>
    <xf numFmtId="0" fontId="10" fillId="0" borderId="3" xfId="0" applyFont="1" applyFill="1" applyBorder="1" applyAlignment="1" applyProtection="1">
      <alignment horizontal="center"/>
      <protection locked="0"/>
    </xf>
    <xf numFmtId="164" fontId="10" fillId="0" borderId="3" xfId="0" applyNumberFormat="1"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3" fontId="10" fillId="0" borderId="5" xfId="0" applyNumberFormat="1" applyFont="1" applyFill="1" applyBorder="1" applyAlignment="1" applyProtection="1">
      <alignment horizontal="center"/>
      <protection locked="0"/>
    </xf>
    <xf numFmtId="3" fontId="9" fillId="0" borderId="5" xfId="0" applyNumberFormat="1" applyFont="1" applyFill="1" applyBorder="1" applyAlignment="1" applyProtection="1">
      <alignment horizontal="center"/>
    </xf>
    <xf numFmtId="0" fontId="10" fillId="0" borderId="8" xfId="0" applyFont="1" applyFill="1" applyBorder="1" applyAlignment="1" applyProtection="1">
      <alignment horizontal="center"/>
      <protection locked="0"/>
    </xf>
    <xf numFmtId="3" fontId="10" fillId="0" borderId="8" xfId="0" applyNumberFormat="1" applyFont="1" applyBorder="1" applyAlignment="1" applyProtection="1">
      <alignment horizontal="center"/>
      <protection locked="0"/>
    </xf>
    <xf numFmtId="0" fontId="18" fillId="0" borderId="0" xfId="0" applyFont="1" applyAlignment="1" applyProtection="1">
      <alignment horizontal="center"/>
    </xf>
    <xf numFmtId="0" fontId="18" fillId="4" borderId="22" xfId="0" applyFont="1" applyFill="1" applyBorder="1" applyAlignment="1" applyProtection="1">
      <alignment horizontal="center"/>
    </xf>
    <xf numFmtId="0" fontId="18" fillId="4" borderId="23" xfId="0" applyFont="1" applyFill="1" applyBorder="1" applyAlignment="1" applyProtection="1">
      <alignment horizontal="center"/>
    </xf>
    <xf numFmtId="0" fontId="18" fillId="5" borderId="24" xfId="0" applyFont="1" applyFill="1" applyBorder="1" applyAlignment="1" applyProtection="1">
      <alignment horizontal="center"/>
    </xf>
    <xf numFmtId="0" fontId="18" fillId="5" borderId="25" xfId="0" applyFont="1" applyFill="1" applyBorder="1" applyAlignment="1" applyProtection="1">
      <alignment horizontal="center"/>
    </xf>
    <xf numFmtId="0" fontId="18" fillId="5" borderId="22" xfId="0" applyFont="1" applyFill="1" applyBorder="1" applyAlignment="1" applyProtection="1">
      <alignment horizontal="center" vertical="justify"/>
    </xf>
    <xf numFmtId="0" fontId="18" fillId="5" borderId="22" xfId="0" applyFont="1" applyFill="1" applyBorder="1" applyAlignment="1" applyProtection="1">
      <alignment horizontal="center"/>
    </xf>
    <xf numFmtId="0" fontId="18" fillId="5" borderId="23" xfId="0" applyFont="1" applyFill="1" applyBorder="1" applyAlignment="1" applyProtection="1">
      <alignment horizontal="center"/>
    </xf>
    <xf numFmtId="0" fontId="18" fillId="6" borderId="24" xfId="0" applyFont="1" applyFill="1" applyBorder="1" applyAlignment="1" applyProtection="1">
      <alignment horizontal="center"/>
    </xf>
    <xf numFmtId="0" fontId="18" fillId="6" borderId="25" xfId="0" applyFont="1" applyFill="1" applyBorder="1" applyAlignment="1" applyProtection="1">
      <alignment horizontal="center"/>
    </xf>
    <xf numFmtId="0" fontId="18" fillId="6" borderId="22" xfId="0" applyFont="1" applyFill="1" applyBorder="1" applyAlignment="1" applyProtection="1">
      <alignment horizontal="center" vertical="justify"/>
    </xf>
    <xf numFmtId="0" fontId="18" fillId="6" borderId="22" xfId="0" applyFont="1" applyFill="1" applyBorder="1" applyAlignment="1" applyProtection="1">
      <alignment horizontal="center"/>
    </xf>
    <xf numFmtId="0" fontId="18" fillId="6" borderId="23" xfId="0" applyFont="1" applyFill="1" applyBorder="1" applyAlignment="1" applyProtection="1">
      <alignment horizontal="center"/>
    </xf>
    <xf numFmtId="166" fontId="9" fillId="0" borderId="18" xfId="0" applyNumberFormat="1" applyFont="1" applyFill="1" applyBorder="1" applyAlignment="1" applyProtection="1">
      <alignment horizontal="center"/>
    </xf>
    <xf numFmtId="171" fontId="9" fillId="0" borderId="18" xfId="0" applyNumberFormat="1" applyFont="1" applyFill="1" applyBorder="1" applyAlignment="1" applyProtection="1">
      <alignment horizontal="center"/>
    </xf>
    <xf numFmtId="0" fontId="9" fillId="0" borderId="9" xfId="0" applyFont="1" applyFill="1" applyBorder="1" applyAlignment="1" applyProtection="1">
      <alignment horizontal="center"/>
    </xf>
    <xf numFmtId="171" fontId="9" fillId="0" borderId="9" xfId="0" applyNumberFormat="1" applyFont="1" applyFill="1" applyBorder="1" applyAlignment="1" applyProtection="1">
      <alignment horizontal="center"/>
    </xf>
    <xf numFmtId="166" fontId="9" fillId="0" borderId="9" xfId="0" applyNumberFormat="1" applyFont="1" applyFill="1" applyBorder="1" applyAlignment="1" applyProtection="1">
      <alignment horizontal="center"/>
    </xf>
    <xf numFmtId="0" fontId="9" fillId="0" borderId="16" xfId="0" applyFont="1" applyFill="1" applyBorder="1" applyAlignment="1" applyProtection="1">
      <alignment horizontal="center"/>
    </xf>
    <xf numFmtId="171" fontId="9" fillId="0" borderId="16" xfId="0" applyNumberFormat="1" applyFont="1" applyFill="1" applyBorder="1" applyAlignment="1" applyProtection="1">
      <alignment horizontal="center"/>
    </xf>
    <xf numFmtId="166" fontId="9" fillId="0" borderId="16" xfId="0" applyNumberFormat="1" applyFont="1" applyFill="1" applyBorder="1" applyAlignment="1" applyProtection="1">
      <alignment horizontal="center"/>
    </xf>
    <xf numFmtId="172" fontId="18" fillId="0" borderId="36" xfId="0" applyNumberFormat="1" applyFont="1" applyBorder="1" applyAlignment="1" applyProtection="1">
      <alignment horizontal="center"/>
    </xf>
    <xf numFmtId="173" fontId="18" fillId="0" borderId="36" xfId="0" applyNumberFormat="1" applyFont="1" applyFill="1" applyBorder="1" applyAlignment="1" applyProtection="1">
      <alignment horizontal="center"/>
    </xf>
    <xf numFmtId="173" fontId="18" fillId="0" borderId="37" xfId="0" applyNumberFormat="1" applyFont="1" applyBorder="1" applyAlignment="1" applyProtection="1">
      <alignment horizontal="center"/>
    </xf>
    <xf numFmtId="173" fontId="18" fillId="0" borderId="9" xfId="0" applyNumberFormat="1" applyFont="1" applyFill="1" applyBorder="1" applyAlignment="1" applyProtection="1">
      <alignment horizontal="center"/>
    </xf>
    <xf numFmtId="173" fontId="18" fillId="0" borderId="21" xfId="0" applyNumberFormat="1" applyFont="1" applyBorder="1" applyAlignment="1" applyProtection="1">
      <alignment horizontal="center"/>
    </xf>
    <xf numFmtId="173" fontId="18" fillId="0" borderId="16" xfId="0" applyNumberFormat="1" applyFont="1" applyFill="1" applyBorder="1" applyAlignment="1" applyProtection="1">
      <alignment horizontal="center"/>
    </xf>
    <xf numFmtId="173" fontId="18" fillId="0" borderId="31" xfId="0" applyNumberFormat="1" applyFont="1" applyBorder="1" applyAlignment="1" applyProtection="1">
      <alignment horizontal="center"/>
    </xf>
    <xf numFmtId="165" fontId="18" fillId="0" borderId="19" xfId="0" applyNumberFormat="1" applyFont="1" applyBorder="1" applyAlignment="1" applyProtection="1">
      <alignment horizontal="center"/>
    </xf>
    <xf numFmtId="165" fontId="18" fillId="0" borderId="21" xfId="0" applyNumberFormat="1" applyFont="1" applyBorder="1" applyAlignment="1" applyProtection="1">
      <alignment horizontal="center"/>
    </xf>
    <xf numFmtId="165" fontId="18" fillId="0" borderId="31" xfId="0" applyNumberFormat="1" applyFont="1" applyBorder="1" applyAlignment="1" applyProtection="1">
      <alignment horizontal="center"/>
    </xf>
    <xf numFmtId="0" fontId="18" fillId="4" borderId="4" xfId="0" applyFont="1" applyFill="1" applyBorder="1" applyAlignment="1" applyProtection="1">
      <alignment horizontal="center"/>
    </xf>
    <xf numFmtId="0" fontId="18" fillId="4" borderId="5" xfId="0" applyFont="1" applyFill="1" applyBorder="1" applyAlignment="1" applyProtection="1">
      <alignment horizontal="center"/>
    </xf>
    <xf numFmtId="0" fontId="18" fillId="2" borderId="1" xfId="0" applyFont="1" applyFill="1" applyBorder="1" applyAlignment="1" applyProtection="1">
      <alignment horizontal="center"/>
    </xf>
    <xf numFmtId="0" fontId="18" fillId="2" borderId="2" xfId="0" applyFont="1" applyFill="1" applyBorder="1" applyAlignment="1" applyProtection="1">
      <alignment horizontal="center"/>
    </xf>
    <xf numFmtId="0" fontId="18" fillId="2" borderId="3" xfId="0" applyFont="1" applyFill="1" applyBorder="1" applyAlignment="1" applyProtection="1">
      <alignment horizontal="center"/>
    </xf>
    <xf numFmtId="0" fontId="14" fillId="7" borderId="11" xfId="0" applyFont="1" applyFill="1" applyBorder="1" applyAlignment="1" applyProtection="1">
      <alignment horizontal="center"/>
    </xf>
    <xf numFmtId="0" fontId="14" fillId="7" borderId="2" xfId="0" applyFont="1" applyFill="1" applyBorder="1" applyAlignment="1" applyProtection="1">
      <alignment horizontal="center"/>
    </xf>
    <xf numFmtId="0" fontId="14" fillId="7" borderId="40" xfId="0" applyFont="1" applyFill="1" applyBorder="1" applyAlignment="1" applyProtection="1">
      <alignment horizontal="center"/>
    </xf>
    <xf numFmtId="0" fontId="14" fillId="7" borderId="41" xfId="0" applyFont="1" applyFill="1" applyBorder="1" applyAlignment="1" applyProtection="1">
      <alignment horizontal="center" wrapText="1"/>
    </xf>
    <xf numFmtId="0" fontId="14" fillId="7" borderId="7" xfId="0" applyFont="1" applyFill="1" applyBorder="1" applyAlignment="1" applyProtection="1">
      <alignment horizontal="center"/>
    </xf>
    <xf numFmtId="0" fontId="14" fillId="7" borderId="42" xfId="0" applyFont="1" applyFill="1" applyBorder="1" applyAlignment="1" applyProtection="1">
      <alignment horizontal="center"/>
    </xf>
    <xf numFmtId="3" fontId="2" fillId="0" borderId="0" xfId="0" applyNumberFormat="1" applyFont="1" applyFill="1" applyBorder="1" applyAlignment="1" applyProtection="1">
      <alignment horizontal="left"/>
    </xf>
    <xf numFmtId="0" fontId="9" fillId="0" borderId="0" xfId="0" applyFont="1" applyFill="1" applyBorder="1" applyAlignment="1" applyProtection="1">
      <alignment horizontal="center"/>
    </xf>
    <xf numFmtId="171" fontId="9" fillId="0" borderId="0" xfId="0" applyNumberFormat="1" applyFont="1" applyFill="1" applyBorder="1" applyAlignment="1" applyProtection="1">
      <alignment horizontal="center"/>
    </xf>
    <xf numFmtId="166" fontId="9" fillId="0" borderId="0" xfId="0" applyNumberFormat="1" applyFont="1" applyFill="1" applyBorder="1" applyAlignment="1" applyProtection="1">
      <alignment horizontal="center"/>
    </xf>
    <xf numFmtId="172" fontId="18" fillId="0" borderId="0" xfId="0" applyNumberFormat="1" applyFont="1" applyBorder="1" applyAlignment="1" applyProtection="1">
      <alignment horizontal="center"/>
    </xf>
    <xf numFmtId="173" fontId="18" fillId="0" borderId="0" xfId="0" applyNumberFormat="1" applyFont="1" applyFill="1" applyBorder="1" applyAlignment="1" applyProtection="1">
      <alignment horizontal="center"/>
    </xf>
    <xf numFmtId="173" fontId="18" fillId="0" borderId="0" xfId="0" applyNumberFormat="1" applyFont="1" applyBorder="1" applyAlignment="1" applyProtection="1">
      <alignment horizontal="center"/>
    </xf>
    <xf numFmtId="172" fontId="18" fillId="0" borderId="41" xfId="0" applyNumberFormat="1" applyFont="1" applyBorder="1" applyAlignment="1" applyProtection="1">
      <alignment horizontal="center"/>
    </xf>
    <xf numFmtId="0" fontId="14" fillId="9" borderId="2" xfId="0" applyFont="1" applyFill="1" applyBorder="1" applyAlignment="1" applyProtection="1">
      <alignment horizontal="center"/>
    </xf>
    <xf numFmtId="0" fontId="14" fillId="9" borderId="47" xfId="0" applyFont="1" applyFill="1" applyBorder="1" applyAlignment="1" applyProtection="1">
      <alignment horizontal="center"/>
    </xf>
    <xf numFmtId="0" fontId="14" fillId="9" borderId="11" xfId="0" applyFont="1" applyFill="1" applyBorder="1" applyAlignment="1" applyProtection="1">
      <alignment horizontal="center"/>
    </xf>
    <xf numFmtId="0" fontId="14" fillId="9" borderId="3" xfId="0" applyFont="1" applyFill="1" applyBorder="1" applyAlignment="1" applyProtection="1">
      <alignment horizontal="center"/>
    </xf>
    <xf numFmtId="0" fontId="14" fillId="9" borderId="41" xfId="0" applyFont="1" applyFill="1" applyBorder="1" applyAlignment="1" applyProtection="1">
      <alignment horizontal="center"/>
    </xf>
    <xf numFmtId="0" fontId="14" fillId="9" borderId="8" xfId="0" applyFont="1" applyFill="1" applyBorder="1" applyAlignment="1" applyProtection="1">
      <alignment horizontal="center"/>
    </xf>
    <xf numFmtId="0" fontId="18" fillId="0" borderId="0" xfId="0" applyFont="1" applyFill="1" applyBorder="1" applyAlignment="1" applyProtection="1">
      <alignment horizontal="center" vertical="justify"/>
    </xf>
    <xf numFmtId="0" fontId="18" fillId="0" borderId="0" xfId="0" quotePrefix="1" applyFont="1" applyFill="1" applyBorder="1" applyAlignment="1" applyProtection="1">
      <alignment horizontal="center"/>
    </xf>
    <xf numFmtId="0" fontId="18" fillId="0" borderId="0" xfId="0" applyFont="1" applyFill="1" applyBorder="1" applyAlignment="1" applyProtection="1">
      <alignment horizontal="center"/>
    </xf>
    <xf numFmtId="175" fontId="13" fillId="2" borderId="18" xfId="0" applyNumberFormat="1" applyFont="1" applyFill="1" applyBorder="1" applyAlignment="1" applyProtection="1">
      <alignment horizontal="center"/>
    </xf>
    <xf numFmtId="175" fontId="13" fillId="2" borderId="9" xfId="0" applyNumberFormat="1" applyFont="1" applyFill="1" applyBorder="1" applyAlignment="1" applyProtection="1">
      <alignment horizontal="center"/>
    </xf>
    <xf numFmtId="175" fontId="13" fillId="2" borderId="16" xfId="0" applyNumberFormat="1" applyFont="1" applyFill="1" applyBorder="1" applyAlignment="1" applyProtection="1">
      <alignment horizontal="center"/>
    </xf>
    <xf numFmtId="0" fontId="18" fillId="6" borderId="6" xfId="0" applyFont="1" applyFill="1" applyBorder="1" applyAlignment="1" applyProtection="1">
      <alignment horizontal="center" vertical="justify"/>
    </xf>
    <xf numFmtId="0" fontId="18" fillId="6" borderId="6" xfId="0" quotePrefix="1" applyFont="1" applyFill="1" applyBorder="1" applyAlignment="1" applyProtection="1">
      <alignment horizontal="center"/>
    </xf>
    <xf numFmtId="0" fontId="18" fillId="6" borderId="8" xfId="0" applyFont="1" applyFill="1" applyBorder="1" applyAlignment="1" applyProtection="1">
      <alignment horizontal="center"/>
    </xf>
    <xf numFmtId="0" fontId="18" fillId="6" borderId="35" xfId="0" applyFont="1" applyFill="1" applyBorder="1" applyAlignment="1" applyProtection="1">
      <alignment horizontal="center"/>
    </xf>
    <xf numFmtId="0" fontId="18" fillId="6" borderId="49" xfId="0" applyFont="1" applyFill="1" applyBorder="1" applyAlignment="1" applyProtection="1">
      <alignment horizontal="center"/>
    </xf>
    <xf numFmtId="0" fontId="10" fillId="0" borderId="0" xfId="0" applyFont="1" applyFill="1" applyBorder="1" applyAlignment="1" applyProtection="1">
      <alignment horizontal="center"/>
    </xf>
    <xf numFmtId="175" fontId="13" fillId="0" borderId="0" xfId="0" applyNumberFormat="1" applyFont="1" applyFill="1" applyBorder="1" applyAlignment="1" applyProtection="1">
      <alignment horizontal="center"/>
    </xf>
    <xf numFmtId="165" fontId="18" fillId="0" borderId="0" xfId="0" applyNumberFormat="1" applyFont="1" applyFill="1" applyBorder="1" applyAlignment="1" applyProtection="1">
      <alignment horizontal="center"/>
    </xf>
    <xf numFmtId="2" fontId="2" fillId="0" borderId="17" xfId="0" applyNumberFormat="1"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165" fontId="2" fillId="0" borderId="18" xfId="0" applyNumberFormat="1"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2" fontId="2" fillId="0" borderId="20"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165" fontId="2" fillId="0" borderId="9" xfId="0" applyNumberFormat="1"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2" fontId="2" fillId="0" borderId="32"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165" fontId="2" fillId="0" borderId="16" xfId="0" applyNumberFormat="1"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19" fillId="10" borderId="10" xfId="0" applyFont="1" applyFill="1" applyBorder="1" applyAlignment="1" applyProtection="1">
      <alignment horizontal="center"/>
    </xf>
    <xf numFmtId="0" fontId="19" fillId="10" borderId="11" xfId="0" applyFont="1" applyFill="1" applyBorder="1" applyAlignment="1" applyProtection="1">
      <alignment horizontal="center"/>
    </xf>
    <xf numFmtId="49" fontId="18" fillId="0" borderId="17" xfId="0" applyNumberFormat="1" applyFont="1" applyFill="1" applyBorder="1" applyAlignment="1" applyProtection="1">
      <alignment horizontal="center"/>
    </xf>
    <xf numFmtId="49" fontId="18" fillId="0" borderId="20" xfId="0" applyNumberFormat="1" applyFont="1" applyFill="1" applyBorder="1" applyAlignment="1" applyProtection="1">
      <alignment horizontal="center"/>
    </xf>
    <xf numFmtId="49" fontId="18" fillId="0" borderId="32" xfId="0" applyNumberFormat="1" applyFont="1" applyFill="1" applyBorder="1" applyAlignment="1" applyProtection="1">
      <alignment horizontal="center"/>
    </xf>
    <xf numFmtId="49" fontId="18" fillId="0" borderId="50" xfId="0" applyNumberFormat="1" applyFont="1" applyFill="1" applyBorder="1" applyAlignment="1" applyProtection="1">
      <alignment horizontal="center"/>
    </xf>
    <xf numFmtId="0" fontId="9" fillId="0" borderId="51" xfId="0" applyFont="1" applyFill="1" applyBorder="1" applyAlignment="1" applyProtection="1">
      <alignment horizontal="center"/>
    </xf>
    <xf numFmtId="171" fontId="9" fillId="0" borderId="51" xfId="0" applyNumberFormat="1" applyFont="1" applyFill="1" applyBorder="1" applyAlignment="1" applyProtection="1">
      <alignment horizontal="center"/>
    </xf>
    <xf numFmtId="166" fontId="9" fillId="0" borderId="51" xfId="0" applyNumberFormat="1" applyFont="1" applyFill="1" applyBorder="1" applyAlignment="1" applyProtection="1">
      <alignment horizontal="center"/>
    </xf>
    <xf numFmtId="175" fontId="13" fillId="2" borderId="51" xfId="0" applyNumberFormat="1" applyFont="1" applyFill="1" applyBorder="1" applyAlignment="1" applyProtection="1">
      <alignment horizontal="center"/>
    </xf>
    <xf numFmtId="165" fontId="18" fillId="0" borderId="52" xfId="0" applyNumberFormat="1" applyFont="1" applyBorder="1" applyAlignment="1" applyProtection="1">
      <alignment horizontal="center"/>
    </xf>
    <xf numFmtId="2" fontId="2" fillId="0" borderId="50" xfId="0" applyNumberFormat="1"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165" fontId="2" fillId="0" borderId="51" xfId="0" applyNumberFormat="1"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wrapText="1"/>
    </xf>
    <xf numFmtId="172" fontId="18" fillId="0" borderId="14" xfId="0" applyNumberFormat="1" applyFont="1" applyBorder="1" applyAlignment="1" applyProtection="1">
      <alignment horizontal="center"/>
    </xf>
    <xf numFmtId="173" fontId="18" fillId="0" borderId="51" xfId="0" applyNumberFormat="1" applyFont="1" applyFill="1" applyBorder="1" applyAlignment="1" applyProtection="1">
      <alignment horizontal="center"/>
    </xf>
    <xf numFmtId="173" fontId="18" fillId="0" borderId="52" xfId="0" applyNumberFormat="1" applyFont="1" applyBorder="1" applyAlignment="1" applyProtection="1">
      <alignment horizontal="center"/>
    </xf>
    <xf numFmtId="0" fontId="0" fillId="0" borderId="0" xfId="0" applyProtection="1"/>
    <xf numFmtId="0" fontId="1" fillId="0" borderId="0" xfId="0" applyFont="1" applyProtection="1"/>
    <xf numFmtId="0" fontId="0" fillId="0" borderId="0" xfId="0" applyNumberFormat="1" applyProtection="1"/>
    <xf numFmtId="0" fontId="0" fillId="0" borderId="0" xfId="0" applyNumberFormat="1" applyFill="1" applyBorder="1" applyProtection="1"/>
    <xf numFmtId="0" fontId="3" fillId="0" borderId="0" xfId="0" applyFont="1" applyProtection="1"/>
    <xf numFmtId="0" fontId="4" fillId="0" borderId="0" xfId="0" applyFont="1" applyFill="1" applyBorder="1" applyProtection="1"/>
    <xf numFmtId="0" fontId="5" fillId="0" borderId="0" xfId="0" applyFont="1" applyProtection="1"/>
    <xf numFmtId="0" fontId="6" fillId="0" borderId="0" xfId="0" applyNumberFormat="1" applyFont="1" applyProtection="1"/>
    <xf numFmtId="0" fontId="6" fillId="0" borderId="0" xfId="0" applyNumberFormat="1" applyFont="1" applyFill="1" applyBorder="1" applyProtection="1"/>
    <xf numFmtId="0" fontId="7" fillId="0" borderId="0" xfId="0" applyFont="1" applyFill="1" applyBorder="1" applyProtection="1"/>
    <xf numFmtId="0" fontId="20" fillId="0" borderId="0" xfId="0" applyNumberFormat="1" applyFont="1" applyProtection="1"/>
    <xf numFmtId="0" fontId="8" fillId="0" borderId="0" xfId="0" applyFont="1" applyProtection="1"/>
    <xf numFmtId="0" fontId="9" fillId="0" borderId="1" xfId="0" applyFont="1" applyFill="1" applyBorder="1" applyProtection="1"/>
    <xf numFmtId="0" fontId="9" fillId="0" borderId="2" xfId="0" applyFont="1" applyFill="1" applyBorder="1" applyProtection="1"/>
    <xf numFmtId="0" fontId="11" fillId="0" borderId="2" xfId="0" applyFont="1" applyBorder="1" applyProtection="1"/>
    <xf numFmtId="0" fontId="0" fillId="0" borderId="2" xfId="0" applyBorder="1" applyProtection="1"/>
    <xf numFmtId="0" fontId="9" fillId="9" borderId="4" xfId="0" applyFont="1" applyFill="1" applyBorder="1" applyAlignment="1" applyProtection="1">
      <alignment horizontal="left" indent="1"/>
    </xf>
    <xf numFmtId="0" fontId="9" fillId="9" borderId="0" xfId="0" applyFont="1" applyFill="1" applyBorder="1" applyAlignment="1" applyProtection="1">
      <alignment horizontal="center"/>
    </xf>
    <xf numFmtId="0" fontId="9" fillId="0" borderId="4" xfId="0" applyFont="1" applyFill="1" applyBorder="1" applyProtection="1"/>
    <xf numFmtId="0" fontId="9" fillId="0" borderId="0" xfId="0" applyFont="1" applyFill="1" applyBorder="1" applyProtection="1"/>
    <xf numFmtId="0" fontId="0" fillId="0" borderId="0" xfId="0" applyBorder="1" applyProtection="1"/>
    <xf numFmtId="0" fontId="9" fillId="0" borderId="4" xfId="0" applyFont="1" applyBorder="1" applyProtection="1"/>
    <xf numFmtId="0" fontId="11" fillId="0" borderId="0" xfId="0" applyFont="1" applyBorder="1" applyProtection="1"/>
    <xf numFmtId="0" fontId="18" fillId="9" borderId="4" xfId="0" applyFont="1" applyFill="1" applyBorder="1" applyAlignment="1" applyProtection="1">
      <alignment horizontal="left" indent="1"/>
    </xf>
    <xf numFmtId="0" fontId="18" fillId="9" borderId="0" xfId="0" applyFont="1" applyFill="1" applyBorder="1" applyAlignment="1" applyProtection="1">
      <alignment horizontal="center"/>
    </xf>
    <xf numFmtId="0" fontId="18" fillId="9" borderId="5" xfId="0" applyFont="1" applyFill="1" applyBorder="1" applyProtection="1"/>
    <xf numFmtId="0" fontId="29" fillId="0" borderId="0" xfId="0" applyFont="1" applyProtection="1"/>
    <xf numFmtId="0" fontId="13" fillId="0" borderId="4" xfId="0" applyFont="1" applyFill="1" applyBorder="1" applyProtection="1"/>
    <xf numFmtId="1" fontId="18" fillId="9" borderId="5" xfId="0" applyNumberFormat="1" applyFont="1" applyFill="1" applyBorder="1" applyProtection="1"/>
    <xf numFmtId="0" fontId="19" fillId="0" borderId="0" xfId="0" applyNumberFormat="1" applyFont="1" applyProtection="1"/>
    <xf numFmtId="0" fontId="9" fillId="0" borderId="6" xfId="0" applyFont="1" applyFill="1" applyBorder="1" applyProtection="1"/>
    <xf numFmtId="0" fontId="9" fillId="0" borderId="7" xfId="0" applyFont="1" applyFill="1" applyBorder="1" applyProtection="1"/>
    <xf numFmtId="0" fontId="2" fillId="0" borderId="6" xfId="0" applyFont="1" applyBorder="1" applyProtection="1"/>
    <xf numFmtId="3" fontId="9" fillId="0" borderId="7" xfId="0" applyNumberFormat="1" applyFont="1" applyFill="1" applyBorder="1" applyAlignment="1" applyProtection="1">
      <alignment horizontal="left" indent="2"/>
    </xf>
    <xf numFmtId="0" fontId="0" fillId="0" borderId="7" xfId="0" applyBorder="1" applyProtection="1"/>
    <xf numFmtId="0" fontId="9" fillId="9" borderId="6" xfId="0" applyFont="1" applyFill="1" applyBorder="1" applyAlignment="1" applyProtection="1">
      <alignment horizontal="left" indent="1"/>
    </xf>
    <xf numFmtId="0" fontId="9" fillId="9" borderId="7" xfId="0" applyFont="1" applyFill="1" applyBorder="1" applyAlignment="1" applyProtection="1">
      <alignment horizontal="center"/>
    </xf>
    <xf numFmtId="1" fontId="18" fillId="9" borderId="8" xfId="0" applyNumberFormat="1" applyFont="1" applyFill="1" applyBorder="1" applyProtection="1"/>
    <xf numFmtId="0" fontId="0" fillId="0" borderId="0" xfId="0" applyFill="1" applyBorder="1" applyProtection="1"/>
    <xf numFmtId="0" fontId="15" fillId="0" borderId="0" xfId="0" applyFont="1" applyFill="1" applyBorder="1" applyProtection="1"/>
    <xf numFmtId="0" fontId="15" fillId="0" borderId="0" xfId="0" applyFont="1" applyFill="1" applyProtection="1"/>
    <xf numFmtId="0" fontId="12" fillId="0" borderId="0" xfId="0" applyFont="1" applyFill="1" applyBorder="1" applyProtection="1"/>
    <xf numFmtId="0" fontId="12" fillId="0" borderId="0" xfId="0" applyFont="1" applyBorder="1" applyAlignment="1" applyProtection="1">
      <alignment horizontal="left"/>
    </xf>
    <xf numFmtId="0" fontId="6" fillId="0" borderId="0" xfId="0" applyFont="1" applyFill="1" applyBorder="1" applyProtection="1"/>
    <xf numFmtId="0" fontId="6" fillId="0" borderId="0" xfId="0" applyFont="1" applyProtection="1"/>
    <xf numFmtId="0" fontId="14" fillId="2" borderId="1" xfId="0" applyFont="1" applyFill="1" applyBorder="1" applyProtection="1"/>
    <xf numFmtId="0" fontId="14" fillId="2" borderId="2" xfId="0" applyFont="1" applyFill="1" applyBorder="1" applyAlignment="1" applyProtection="1">
      <alignment horizontal="center"/>
    </xf>
    <xf numFmtId="0" fontId="14" fillId="2" borderId="12" xfId="0" applyFont="1" applyFill="1" applyBorder="1" applyAlignment="1" applyProtection="1">
      <alignment horizontal="center"/>
    </xf>
    <xf numFmtId="0" fontId="19" fillId="0" borderId="0" xfId="0" applyNumberFormat="1" applyFont="1" applyFill="1" applyBorder="1" applyAlignment="1" applyProtection="1">
      <alignment horizontal="center"/>
    </xf>
    <xf numFmtId="0" fontId="14" fillId="2" borderId="4" xfId="0" applyFont="1" applyFill="1" applyBorder="1" applyProtection="1"/>
    <xf numFmtId="0" fontId="14" fillId="2" borderId="13"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5"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15" xfId="0" applyFont="1" applyFill="1" applyBorder="1" applyAlignment="1" applyProtection="1">
      <alignment horizontal="center"/>
    </xf>
    <xf numFmtId="0" fontId="12" fillId="0" borderId="0" xfId="0" applyFont="1" applyFill="1" applyBorder="1" applyAlignment="1" applyProtection="1">
      <alignment horizontal="center"/>
    </xf>
    <xf numFmtId="0" fontId="18" fillId="2" borderId="4" xfId="0" applyFont="1" applyFill="1" applyBorder="1" applyProtection="1"/>
    <xf numFmtId="0" fontId="18" fillId="2" borderId="0" xfId="0" applyFont="1" applyFill="1" applyBorder="1" applyAlignment="1" applyProtection="1">
      <alignment horizontal="center"/>
    </xf>
    <xf numFmtId="0" fontId="18" fillId="2" borderId="5" xfId="0" applyFont="1" applyFill="1" applyBorder="1" applyAlignment="1" applyProtection="1">
      <alignment wrapText="1"/>
    </xf>
    <xf numFmtId="0" fontId="18" fillId="2" borderId="6" xfId="0" applyFont="1" applyFill="1" applyBorder="1" applyProtection="1"/>
    <xf numFmtId="0" fontId="18" fillId="2" borderId="7" xfId="0" applyFont="1" applyFill="1" applyBorder="1" applyAlignment="1" applyProtection="1">
      <alignment horizontal="center"/>
    </xf>
    <xf numFmtId="0" fontId="18" fillId="2" borderId="8" xfId="0" applyFont="1" applyFill="1" applyBorder="1" applyAlignment="1" applyProtection="1">
      <alignment wrapText="1"/>
    </xf>
    <xf numFmtId="174" fontId="16" fillId="0" borderId="0" xfId="0" applyNumberFormat="1" applyFont="1" applyFill="1" applyBorder="1" applyAlignment="1" applyProtection="1">
      <alignment horizontal="center"/>
    </xf>
    <xf numFmtId="3" fontId="16" fillId="0" borderId="0" xfId="0" applyNumberFormat="1" applyFont="1" applyFill="1" applyBorder="1" applyAlignment="1" applyProtection="1">
      <alignment horizontal="center"/>
    </xf>
    <xf numFmtId="165" fontId="16" fillId="0" borderId="0" xfId="0" applyNumberFormat="1" applyFont="1" applyFill="1" applyBorder="1" applyAlignment="1" applyProtection="1">
      <alignment horizontal="center"/>
    </xf>
    <xf numFmtId="166" fontId="16" fillId="0" borderId="0" xfId="0" applyNumberFormat="1" applyFont="1" applyFill="1" applyBorder="1" applyAlignment="1" applyProtection="1">
      <alignment horizontal="center"/>
    </xf>
    <xf numFmtId="0" fontId="17" fillId="0" borderId="0" xfId="0" applyFont="1" applyFill="1" applyBorder="1" applyAlignment="1" applyProtection="1">
      <alignment horizontal="center"/>
    </xf>
    <xf numFmtId="3" fontId="17" fillId="0" borderId="0" xfId="0" applyNumberFormat="1" applyFont="1" applyFill="1" applyBorder="1" applyAlignment="1" applyProtection="1">
      <alignment horizontal="center"/>
    </xf>
    <xf numFmtId="167" fontId="17" fillId="0" borderId="0" xfId="0" applyNumberFormat="1" applyFont="1" applyFill="1" applyBorder="1" applyAlignment="1" applyProtection="1">
      <alignment horizontal="center"/>
    </xf>
    <xf numFmtId="165" fontId="17" fillId="0" borderId="0" xfId="0" applyNumberFormat="1" applyFont="1" applyFill="1" applyBorder="1" applyAlignment="1" applyProtection="1">
      <alignment horizontal="center"/>
    </xf>
    <xf numFmtId="166" fontId="17" fillId="0" borderId="0" xfId="0" applyNumberFormat="1" applyFont="1" applyBorder="1" applyAlignment="1" applyProtection="1">
      <alignment horizontal="center"/>
    </xf>
    <xf numFmtId="0" fontId="19" fillId="10" borderId="40" xfId="0" applyFont="1" applyFill="1" applyBorder="1" applyAlignment="1" applyProtection="1">
      <alignment horizontal="center"/>
    </xf>
    <xf numFmtId="0" fontId="20" fillId="5" borderId="12" xfId="0" applyFont="1" applyFill="1" applyBorder="1" applyProtection="1"/>
    <xf numFmtId="0" fontId="19" fillId="0" borderId="0" xfId="0" applyFont="1" applyFill="1" applyBorder="1" applyAlignment="1" applyProtection="1">
      <alignment horizontal="center"/>
    </xf>
    <xf numFmtId="0" fontId="18" fillId="8" borderId="10" xfId="0" applyFont="1" applyFill="1" applyBorder="1" applyAlignment="1" applyProtection="1">
      <alignment horizontal="center"/>
    </xf>
    <xf numFmtId="0" fontId="18" fillId="8" borderId="11" xfId="0" applyFont="1" applyFill="1" applyBorder="1" applyAlignment="1" applyProtection="1">
      <alignment horizontal="center"/>
    </xf>
    <xf numFmtId="0" fontId="18" fillId="8" borderId="40" xfId="0" applyFont="1" applyFill="1" applyBorder="1" applyAlignment="1" applyProtection="1">
      <alignment horizontal="center"/>
    </xf>
    <xf numFmtId="3" fontId="14" fillId="9" borderId="0" xfId="0" applyNumberFormat="1" applyFont="1" applyFill="1" applyBorder="1" applyAlignment="1" applyProtection="1">
      <alignment horizontal="center"/>
    </xf>
    <xf numFmtId="3" fontId="14" fillId="9" borderId="48" xfId="0" applyNumberFormat="1" applyFont="1" applyFill="1" applyBorder="1" applyAlignment="1" applyProtection="1">
      <alignment horizontal="center"/>
    </xf>
    <xf numFmtId="0" fontId="20" fillId="10" borderId="44" xfId="0" applyFont="1" applyFill="1" applyBorder="1" applyProtection="1"/>
    <xf numFmtId="0" fontId="20" fillId="10" borderId="41" xfId="0" applyFont="1" applyFill="1" applyBorder="1" applyProtection="1"/>
    <xf numFmtId="0" fontId="19" fillId="10" borderId="41" xfId="0" applyFont="1" applyFill="1" applyBorder="1" applyAlignment="1" applyProtection="1">
      <alignment horizontal="center"/>
    </xf>
    <xf numFmtId="0" fontId="19" fillId="10" borderId="42" xfId="0" applyFont="1" applyFill="1" applyBorder="1" applyAlignment="1" applyProtection="1">
      <alignment horizontal="center"/>
    </xf>
    <xf numFmtId="0" fontId="19" fillId="5" borderId="39" xfId="0" applyFont="1" applyFill="1" applyBorder="1" applyAlignment="1" applyProtection="1">
      <alignment horizontal="center"/>
    </xf>
    <xf numFmtId="168" fontId="19" fillId="5" borderId="30" xfId="0" applyNumberFormat="1" applyFont="1" applyFill="1" applyBorder="1" applyAlignment="1" applyProtection="1">
      <alignment horizontal="center"/>
    </xf>
    <xf numFmtId="168" fontId="19" fillId="5" borderId="31" xfId="0" applyNumberFormat="1" applyFont="1" applyFill="1" applyBorder="1" applyAlignment="1" applyProtection="1">
      <alignment horizontal="center"/>
    </xf>
    <xf numFmtId="168" fontId="19" fillId="5" borderId="32" xfId="0" applyNumberFormat="1" applyFont="1" applyFill="1" applyBorder="1" applyAlignment="1" applyProtection="1">
      <alignment horizontal="center"/>
    </xf>
    <xf numFmtId="168" fontId="19" fillId="0" borderId="0" xfId="0" applyNumberFormat="1" applyFont="1" applyFill="1" applyBorder="1" applyAlignment="1" applyProtection="1">
      <alignment horizontal="center"/>
    </xf>
    <xf numFmtId="0" fontId="18" fillId="8" borderId="44" xfId="0" quotePrefix="1" applyFont="1" applyFill="1" applyBorder="1" applyAlignment="1" applyProtection="1">
      <alignment horizontal="center"/>
    </xf>
    <xf numFmtId="0" fontId="18" fillId="8" borderId="41" xfId="0" applyFont="1" applyFill="1" applyBorder="1" applyAlignment="1" applyProtection="1">
      <alignment horizontal="center"/>
    </xf>
    <xf numFmtId="0" fontId="18" fillId="8" borderId="42" xfId="0" applyFont="1" applyFill="1" applyBorder="1" applyAlignment="1" applyProtection="1">
      <alignment horizontal="center"/>
    </xf>
    <xf numFmtId="167" fontId="9" fillId="0" borderId="18" xfId="0" applyNumberFormat="1" applyFont="1" applyBorder="1" applyAlignment="1" applyProtection="1">
      <alignment horizontal="center"/>
    </xf>
    <xf numFmtId="3" fontId="9" fillId="0" borderId="18" xfId="0" applyNumberFormat="1" applyFont="1" applyBorder="1" applyAlignment="1" applyProtection="1">
      <alignment horizontal="center"/>
    </xf>
    <xf numFmtId="169" fontId="18" fillId="0" borderId="27" xfId="0" applyNumberFormat="1" applyFont="1" applyBorder="1" applyAlignment="1" applyProtection="1">
      <alignment horizontal="center"/>
    </xf>
    <xf numFmtId="170" fontId="18" fillId="0" borderId="26" xfId="0" applyNumberFormat="1" applyFont="1" applyBorder="1" applyAlignment="1" applyProtection="1">
      <alignment horizontal="center"/>
    </xf>
    <xf numFmtId="169" fontId="21" fillId="0" borderId="19" xfId="0" applyNumberFormat="1" applyFont="1" applyBorder="1" applyAlignment="1" applyProtection="1">
      <alignment horizontal="center"/>
    </xf>
    <xf numFmtId="166" fontId="18" fillId="0" borderId="17" xfId="0" applyNumberFormat="1" applyFont="1" applyBorder="1" applyAlignment="1" applyProtection="1">
      <alignment horizontal="center"/>
    </xf>
    <xf numFmtId="169" fontId="21" fillId="0" borderId="19" xfId="0" applyNumberFormat="1" applyFont="1" applyFill="1" applyBorder="1" applyAlignment="1" applyProtection="1">
      <alignment horizontal="center"/>
    </xf>
    <xf numFmtId="169" fontId="21" fillId="0" borderId="0" xfId="0" applyNumberFormat="1" applyFont="1" applyFill="1" applyBorder="1" applyAlignment="1" applyProtection="1">
      <alignment horizontal="center"/>
    </xf>
    <xf numFmtId="0" fontId="14" fillId="0" borderId="43" xfId="0" applyFont="1" applyBorder="1" applyProtection="1"/>
    <xf numFmtId="0" fontId="14" fillId="0" borderId="36" xfId="0" applyFont="1" applyBorder="1" applyProtection="1"/>
    <xf numFmtId="0" fontId="14" fillId="0" borderId="37" xfId="0" applyFont="1" applyBorder="1" applyProtection="1"/>
    <xf numFmtId="0" fontId="2" fillId="0" borderId="0" xfId="0" applyFont="1" applyFill="1" applyBorder="1" applyAlignment="1" applyProtection="1">
      <alignment horizontal="center"/>
    </xf>
    <xf numFmtId="167" fontId="9" fillId="0" borderId="9" xfId="0" applyNumberFormat="1" applyFont="1" applyBorder="1" applyAlignment="1" applyProtection="1">
      <alignment horizontal="center"/>
    </xf>
    <xf numFmtId="3" fontId="9" fillId="0" borderId="9" xfId="0" applyNumberFormat="1" applyFont="1" applyBorder="1" applyAlignment="1" applyProtection="1">
      <alignment horizontal="center"/>
    </xf>
    <xf numFmtId="170" fontId="18" fillId="0" borderId="28" xfId="0" applyNumberFormat="1" applyFont="1" applyBorder="1" applyAlignment="1" applyProtection="1">
      <alignment horizontal="center"/>
    </xf>
    <xf numFmtId="169" fontId="21" fillId="0" borderId="21" xfId="0" applyNumberFormat="1" applyFont="1" applyBorder="1" applyAlignment="1" applyProtection="1">
      <alignment horizontal="center"/>
    </xf>
    <xf numFmtId="166" fontId="18" fillId="0" borderId="20" xfId="0" applyNumberFormat="1" applyFont="1" applyBorder="1" applyAlignment="1" applyProtection="1">
      <alignment horizontal="center"/>
    </xf>
    <xf numFmtId="169" fontId="21" fillId="0" borderId="21" xfId="0" applyNumberFormat="1" applyFont="1" applyFill="1" applyBorder="1" applyAlignment="1" applyProtection="1">
      <alignment horizontal="center"/>
    </xf>
    <xf numFmtId="167" fontId="9" fillId="0" borderId="51" xfId="0" applyNumberFormat="1" applyFont="1" applyBorder="1" applyAlignment="1" applyProtection="1">
      <alignment horizontal="center"/>
    </xf>
    <xf numFmtId="3" fontId="9" fillId="0" borderId="51" xfId="0" applyNumberFormat="1" applyFont="1" applyBorder="1" applyAlignment="1" applyProtection="1">
      <alignment horizontal="center"/>
    </xf>
    <xf numFmtId="169" fontId="18" fillId="0" borderId="53" xfId="0" applyNumberFormat="1" applyFont="1" applyBorder="1" applyAlignment="1" applyProtection="1">
      <alignment horizontal="center"/>
    </xf>
    <xf numFmtId="170" fontId="18" fillId="0" borderId="54" xfId="0" applyNumberFormat="1" applyFont="1" applyBorder="1" applyAlignment="1" applyProtection="1">
      <alignment horizontal="center"/>
    </xf>
    <xf numFmtId="169" fontId="21" fillId="0" borderId="52" xfId="0" applyNumberFormat="1" applyFont="1" applyBorder="1" applyAlignment="1" applyProtection="1">
      <alignment horizontal="center"/>
    </xf>
    <xf numFmtId="166" fontId="18" fillId="0" borderId="50" xfId="0" applyNumberFormat="1" applyFont="1" applyBorder="1" applyAlignment="1" applyProtection="1">
      <alignment horizontal="center"/>
    </xf>
    <xf numFmtId="169" fontId="21" fillId="0" borderId="52" xfId="0" applyNumberFormat="1" applyFont="1" applyFill="1" applyBorder="1" applyAlignment="1" applyProtection="1">
      <alignment horizontal="center"/>
    </xf>
    <xf numFmtId="167" fontId="9" fillId="0" borderId="16" xfId="0" applyNumberFormat="1" applyFont="1" applyBorder="1" applyAlignment="1" applyProtection="1">
      <alignment horizontal="center"/>
    </xf>
    <xf numFmtId="3" fontId="9" fillId="0" borderId="16" xfId="0" applyNumberFormat="1" applyFont="1" applyBorder="1" applyAlignment="1" applyProtection="1">
      <alignment horizontal="center"/>
    </xf>
    <xf numFmtId="169" fontId="18" fillId="0" borderId="29" xfId="0" applyNumberFormat="1" applyFont="1" applyBorder="1" applyAlignment="1" applyProtection="1">
      <alignment horizontal="center"/>
    </xf>
    <xf numFmtId="170" fontId="18" fillId="0" borderId="30" xfId="0" applyNumberFormat="1" applyFont="1" applyBorder="1" applyAlignment="1" applyProtection="1">
      <alignment horizontal="center"/>
    </xf>
    <xf numFmtId="169" fontId="21" fillId="0" borderId="31" xfId="0" applyNumberFormat="1" applyFont="1" applyBorder="1" applyAlignment="1" applyProtection="1">
      <alignment horizontal="center"/>
    </xf>
    <xf numFmtId="166" fontId="18" fillId="0" borderId="32" xfId="0" applyNumberFormat="1" applyFont="1" applyBorder="1" applyAlignment="1" applyProtection="1">
      <alignment horizontal="center"/>
    </xf>
    <xf numFmtId="169" fontId="21" fillId="0" borderId="31" xfId="0" applyNumberFormat="1" applyFont="1" applyFill="1" applyBorder="1" applyAlignment="1" applyProtection="1">
      <alignment horizontal="center"/>
    </xf>
    <xf numFmtId="167" fontId="9" fillId="0" borderId="0" xfId="0" applyNumberFormat="1" applyFont="1" applyBorder="1" applyAlignment="1" applyProtection="1">
      <alignment horizontal="center"/>
    </xf>
    <xf numFmtId="3" fontId="9" fillId="0" borderId="0" xfId="0" applyNumberFormat="1" applyFont="1" applyBorder="1" applyAlignment="1" applyProtection="1">
      <alignment horizontal="center"/>
    </xf>
    <xf numFmtId="177" fontId="18" fillId="0" borderId="0" xfId="0" applyNumberFormat="1" applyFont="1" applyBorder="1" applyAlignment="1" applyProtection="1">
      <alignment horizontal="center"/>
    </xf>
    <xf numFmtId="176" fontId="18" fillId="0" borderId="0" xfId="0" applyNumberFormat="1" applyFont="1" applyBorder="1" applyAlignment="1" applyProtection="1">
      <alignment horizontal="center"/>
    </xf>
    <xf numFmtId="169" fontId="18" fillId="0" borderId="0" xfId="0" applyNumberFormat="1" applyFont="1" applyBorder="1" applyAlignment="1" applyProtection="1">
      <alignment horizontal="center"/>
    </xf>
    <xf numFmtId="170" fontId="18" fillId="0" borderId="0" xfId="0" applyNumberFormat="1" applyFont="1" applyBorder="1" applyAlignment="1" applyProtection="1">
      <alignment horizontal="center"/>
    </xf>
    <xf numFmtId="169" fontId="21" fillId="0" borderId="0" xfId="0" applyNumberFormat="1" applyFont="1" applyBorder="1" applyAlignment="1" applyProtection="1">
      <alignment horizontal="center"/>
    </xf>
    <xf numFmtId="0" fontId="16" fillId="9" borderId="5" xfId="0" applyFont="1" applyFill="1" applyBorder="1" applyProtection="1">
      <protection locked="0"/>
    </xf>
    <xf numFmtId="165" fontId="10" fillId="0" borderId="5" xfId="0" applyNumberFormat="1" applyFont="1" applyBorder="1" applyAlignment="1" applyProtection="1">
      <alignment horizontal="center"/>
      <protection locked="0"/>
    </xf>
    <xf numFmtId="0" fontId="0" fillId="11" borderId="7" xfId="0" applyFill="1" applyBorder="1" applyProtection="1"/>
    <xf numFmtId="0" fontId="0" fillId="11" borderId="8" xfId="0" applyFill="1" applyBorder="1" applyProtection="1"/>
    <xf numFmtId="0" fontId="8" fillId="0" borderId="0" xfId="0" applyFont="1" applyFill="1" applyBorder="1" applyAlignment="1" applyProtection="1">
      <alignment horizontal="center" wrapText="1"/>
    </xf>
    <xf numFmtId="0" fontId="6" fillId="0" borderId="0" xfId="0" applyFont="1" applyBorder="1" applyProtection="1"/>
    <xf numFmtId="0" fontId="6" fillId="0" borderId="3" xfId="0" applyFont="1" applyBorder="1" applyProtection="1"/>
    <xf numFmtId="0" fontId="6" fillId="0" borderId="8" xfId="0" applyFont="1" applyBorder="1" applyProtection="1"/>
    <xf numFmtId="3" fontId="2" fillId="0" borderId="0" xfId="0" applyNumberFormat="1" applyFont="1" applyFill="1" applyBorder="1" applyAlignment="1" applyProtection="1">
      <alignment horizontal="center"/>
    </xf>
    <xf numFmtId="3" fontId="28" fillId="0" borderId="0" xfId="0" applyNumberFormat="1" applyFont="1" applyFill="1" applyBorder="1" applyAlignment="1" applyProtection="1">
      <alignment horizontal="center"/>
    </xf>
    <xf numFmtId="178" fontId="19" fillId="0" borderId="0" xfId="0" applyNumberFormat="1" applyFont="1" applyFill="1" applyBorder="1" applyAlignment="1" applyProtection="1">
      <alignment horizontal="center"/>
    </xf>
    <xf numFmtId="178" fontId="27" fillId="0" borderId="0" xfId="0" applyNumberFormat="1" applyFont="1" applyFill="1" applyBorder="1" applyProtection="1"/>
    <xf numFmtId="178" fontId="2" fillId="0" borderId="0" xfId="0" applyNumberFormat="1" applyFont="1" applyFill="1" applyBorder="1" applyAlignment="1" applyProtection="1">
      <alignment horizontal="center"/>
    </xf>
    <xf numFmtId="178" fontId="28" fillId="0" borderId="0" xfId="0" applyNumberFormat="1" applyFont="1" applyFill="1" applyBorder="1" applyAlignment="1" applyProtection="1">
      <alignment horizontal="center"/>
    </xf>
    <xf numFmtId="0" fontId="8" fillId="0" borderId="0" xfId="0" applyFont="1" applyFill="1" applyBorder="1" applyAlignment="1" applyProtection="1">
      <alignment horizontal="left" wrapText="1"/>
    </xf>
    <xf numFmtId="0" fontId="8" fillId="9" borderId="0" xfId="0" applyFont="1" applyFill="1" applyBorder="1" applyAlignment="1" applyProtection="1"/>
    <xf numFmtId="0" fontId="8" fillId="9" borderId="7" xfId="0" applyFont="1" applyFill="1" applyBorder="1" applyAlignment="1" applyProtection="1"/>
    <xf numFmtId="179" fontId="9" fillId="0" borderId="9" xfId="0" applyNumberFormat="1" applyFont="1" applyFill="1" applyBorder="1" applyAlignment="1" applyProtection="1">
      <alignment horizontal="center"/>
    </xf>
    <xf numFmtId="179" fontId="9" fillId="0" borderId="18" xfId="0" applyNumberFormat="1" applyFont="1" applyFill="1" applyBorder="1" applyAlignment="1" applyProtection="1">
      <alignment horizontal="center"/>
    </xf>
    <xf numFmtId="179" fontId="9" fillId="0" borderId="16" xfId="0" applyNumberFormat="1" applyFont="1" applyFill="1" applyBorder="1" applyAlignment="1" applyProtection="1">
      <alignment horizontal="center"/>
    </xf>
    <xf numFmtId="0" fontId="14" fillId="0" borderId="17" xfId="0" applyFont="1" applyBorder="1" applyProtection="1"/>
    <xf numFmtId="0" fontId="14" fillId="0" borderId="18" xfId="0" applyFont="1" applyBorder="1" applyProtection="1"/>
    <xf numFmtId="0" fontId="14" fillId="0" borderId="19" xfId="0" applyFont="1" applyBorder="1" applyProtection="1"/>
    <xf numFmtId="0" fontId="14" fillId="0" borderId="44" xfId="0" applyFont="1" applyBorder="1" applyProtection="1"/>
    <xf numFmtId="0" fontId="14" fillId="0" borderId="41" xfId="0" applyFont="1" applyBorder="1" applyProtection="1"/>
    <xf numFmtId="0" fontId="14" fillId="0" borderId="42" xfId="0" applyFont="1" applyBorder="1" applyProtection="1"/>
    <xf numFmtId="49" fontId="16" fillId="0" borderId="38" xfId="0" applyNumberFormat="1" applyFont="1" applyFill="1" applyBorder="1" applyAlignment="1" applyProtection="1">
      <alignment horizontal="center"/>
      <protection locked="0"/>
    </xf>
    <xf numFmtId="3" fontId="16" fillId="3" borderId="17" xfId="0" applyNumberFormat="1" applyFont="1" applyFill="1" applyBorder="1" applyAlignment="1" applyProtection="1">
      <alignment horizontal="center"/>
      <protection locked="0"/>
    </xf>
    <xf numFmtId="3" fontId="16" fillId="3" borderId="18" xfId="0" applyNumberFormat="1" applyFont="1" applyFill="1" applyBorder="1" applyAlignment="1" applyProtection="1">
      <alignment horizontal="center"/>
      <protection locked="0"/>
    </xf>
    <xf numFmtId="3" fontId="16" fillId="0" borderId="18" xfId="0" applyNumberFormat="1" applyFont="1" applyFill="1" applyBorder="1" applyAlignment="1" applyProtection="1">
      <alignment horizontal="center"/>
      <protection locked="0"/>
    </xf>
    <xf numFmtId="3" fontId="16" fillId="0" borderId="19" xfId="0" applyNumberFormat="1" applyFont="1" applyFill="1" applyBorder="1" applyAlignment="1" applyProtection="1">
      <alignment horizontal="center"/>
      <protection locked="0"/>
    </xf>
    <xf numFmtId="165" fontId="16" fillId="3" borderId="18" xfId="0" applyNumberFormat="1" applyFont="1" applyFill="1" applyBorder="1" applyAlignment="1" applyProtection="1">
      <alignment horizontal="center"/>
      <protection locked="0"/>
    </xf>
    <xf numFmtId="166" fontId="16" fillId="0" borderId="38" xfId="0" applyNumberFormat="1" applyFont="1" applyBorder="1" applyAlignment="1" applyProtection="1">
      <alignment horizontal="center"/>
      <protection locked="0"/>
    </xf>
    <xf numFmtId="49" fontId="16" fillId="0" borderId="27" xfId="0" applyNumberFormat="1" applyFont="1" applyFill="1" applyBorder="1" applyAlignment="1" applyProtection="1">
      <alignment horizontal="center"/>
      <protection locked="0"/>
    </xf>
    <xf numFmtId="3" fontId="16" fillId="3" borderId="20" xfId="0" applyNumberFormat="1" applyFont="1" applyFill="1" applyBorder="1" applyAlignment="1" applyProtection="1">
      <alignment horizontal="center"/>
      <protection locked="0"/>
    </xf>
    <xf numFmtId="3" fontId="16" fillId="3" borderId="9" xfId="0" applyNumberFormat="1" applyFont="1" applyFill="1" applyBorder="1" applyAlignment="1" applyProtection="1">
      <alignment horizontal="center"/>
      <protection locked="0"/>
    </xf>
    <xf numFmtId="3" fontId="16" fillId="0" borderId="9" xfId="0" applyNumberFormat="1" applyFont="1" applyFill="1" applyBorder="1" applyAlignment="1" applyProtection="1">
      <alignment horizontal="center"/>
      <protection locked="0"/>
    </xf>
    <xf numFmtId="3" fontId="16" fillId="0" borderId="21" xfId="0" applyNumberFormat="1" applyFont="1" applyFill="1" applyBorder="1" applyAlignment="1" applyProtection="1">
      <alignment horizontal="center"/>
      <protection locked="0"/>
    </xf>
    <xf numFmtId="165" fontId="16" fillId="3" borderId="9" xfId="0" applyNumberFormat="1" applyFont="1" applyFill="1" applyBorder="1" applyAlignment="1" applyProtection="1">
      <alignment horizontal="center"/>
      <protection locked="0"/>
    </xf>
    <xf numFmtId="166" fontId="16" fillId="0" borderId="27" xfId="0" applyNumberFormat="1" applyFont="1" applyBorder="1" applyAlignment="1" applyProtection="1">
      <alignment horizontal="center"/>
      <protection locked="0"/>
    </xf>
    <xf numFmtId="49" fontId="33" fillId="0" borderId="27" xfId="0" applyNumberFormat="1" applyFont="1" applyFill="1" applyBorder="1" applyAlignment="1" applyProtection="1">
      <alignment horizontal="center"/>
      <protection locked="0"/>
    </xf>
    <xf numFmtId="3" fontId="33" fillId="3" borderId="43" xfId="0" applyNumberFormat="1" applyFont="1" applyFill="1" applyBorder="1" applyAlignment="1" applyProtection="1">
      <alignment horizontal="center"/>
      <protection locked="0"/>
    </xf>
    <xf numFmtId="3" fontId="33" fillId="3" borderId="36" xfId="0" applyNumberFormat="1" applyFont="1" applyFill="1" applyBorder="1" applyAlignment="1" applyProtection="1">
      <alignment horizontal="center"/>
      <protection locked="0"/>
    </xf>
    <xf numFmtId="3" fontId="33" fillId="0" borderId="36" xfId="0" applyNumberFormat="1" applyFont="1" applyFill="1" applyBorder="1" applyAlignment="1" applyProtection="1">
      <alignment horizontal="center"/>
      <protection locked="0"/>
    </xf>
    <xf numFmtId="3" fontId="33" fillId="0" borderId="37" xfId="0" applyNumberFormat="1" applyFont="1" applyFill="1" applyBorder="1" applyAlignment="1" applyProtection="1">
      <alignment horizontal="center"/>
      <protection locked="0"/>
    </xf>
    <xf numFmtId="165" fontId="33" fillId="3" borderId="36" xfId="0" applyNumberFormat="1" applyFont="1" applyFill="1" applyBorder="1" applyAlignment="1" applyProtection="1">
      <alignment horizontal="center"/>
      <protection locked="0"/>
    </xf>
    <xf numFmtId="166" fontId="33" fillId="0" borderId="46" xfId="0" applyNumberFormat="1" applyFont="1" applyBorder="1" applyAlignment="1" applyProtection="1">
      <alignment horizontal="center"/>
      <protection locked="0"/>
    </xf>
    <xf numFmtId="166" fontId="34" fillId="0" borderId="34" xfId="0" applyNumberFormat="1" applyFont="1" applyBorder="1" applyAlignment="1" applyProtection="1">
      <alignment horizontal="left"/>
      <protection locked="0"/>
    </xf>
    <xf numFmtId="3" fontId="33" fillId="3" borderId="20" xfId="0" applyNumberFormat="1" applyFont="1" applyFill="1" applyBorder="1" applyAlignment="1" applyProtection="1">
      <alignment horizontal="center"/>
      <protection locked="0"/>
    </xf>
    <xf numFmtId="3" fontId="33" fillId="3" borderId="9" xfId="0" applyNumberFormat="1" applyFont="1" applyFill="1" applyBorder="1" applyAlignment="1" applyProtection="1">
      <alignment horizontal="center"/>
      <protection locked="0"/>
    </xf>
    <xf numFmtId="3" fontId="33" fillId="0" borderId="9" xfId="0" applyNumberFormat="1" applyFont="1" applyFill="1" applyBorder="1" applyAlignment="1" applyProtection="1">
      <alignment horizontal="center"/>
      <protection locked="0"/>
    </xf>
    <xf numFmtId="3" fontId="33" fillId="0" borderId="21" xfId="0" applyNumberFormat="1" applyFont="1" applyFill="1" applyBorder="1" applyAlignment="1" applyProtection="1">
      <alignment horizontal="center"/>
      <protection locked="0"/>
    </xf>
    <xf numFmtId="165" fontId="33" fillId="3" borderId="9" xfId="0" applyNumberFormat="1" applyFont="1" applyFill="1" applyBorder="1" applyAlignment="1" applyProtection="1">
      <alignment horizontal="center"/>
      <protection locked="0"/>
    </xf>
    <xf numFmtId="166" fontId="33" fillId="0" borderId="27" xfId="0" applyNumberFormat="1" applyFont="1" applyBorder="1" applyAlignment="1" applyProtection="1">
      <alignment horizontal="center"/>
      <protection locked="0"/>
    </xf>
    <xf numFmtId="3" fontId="33" fillId="0" borderId="20" xfId="0" applyNumberFormat="1" applyFont="1" applyFill="1" applyBorder="1" applyAlignment="1" applyProtection="1">
      <alignment horizontal="center"/>
      <protection locked="0"/>
    </xf>
    <xf numFmtId="166" fontId="33" fillId="0" borderId="27" xfId="0" applyNumberFormat="1" applyFont="1" applyFill="1" applyBorder="1" applyAlignment="1" applyProtection="1">
      <alignment horizontal="center"/>
      <protection locked="0"/>
    </xf>
    <xf numFmtId="165" fontId="33" fillId="0" borderId="9" xfId="0" applyNumberFormat="1" applyFont="1" applyFill="1" applyBorder="1" applyAlignment="1" applyProtection="1">
      <alignment horizontal="center"/>
      <protection locked="0"/>
    </xf>
    <xf numFmtId="0" fontId="34" fillId="0" borderId="34" xfId="0" applyFont="1" applyBorder="1" applyAlignment="1" applyProtection="1">
      <alignment horizontal="left"/>
      <protection locked="0"/>
    </xf>
    <xf numFmtId="0" fontId="35" fillId="0" borderId="34" xfId="0" applyFont="1" applyBorder="1" applyAlignment="1" applyProtection="1">
      <alignment horizontal="left"/>
      <protection locked="0"/>
    </xf>
    <xf numFmtId="0" fontId="34" fillId="0" borderId="34" xfId="0" applyFont="1" applyFill="1" applyBorder="1" applyAlignment="1" applyProtection="1">
      <alignment horizontal="left"/>
      <protection locked="0"/>
    </xf>
    <xf numFmtId="49" fontId="33" fillId="0" borderId="29" xfId="0" applyNumberFormat="1" applyFont="1" applyFill="1" applyBorder="1" applyAlignment="1" applyProtection="1">
      <alignment horizontal="center"/>
      <protection locked="0"/>
    </xf>
    <xf numFmtId="3" fontId="33" fillId="0" borderId="32" xfId="0" applyNumberFormat="1" applyFont="1" applyFill="1" applyBorder="1" applyAlignment="1" applyProtection="1">
      <alignment horizontal="center"/>
      <protection locked="0"/>
    </xf>
    <xf numFmtId="3" fontId="33" fillId="0" borderId="16" xfId="0" applyNumberFormat="1" applyFont="1" applyFill="1" applyBorder="1" applyAlignment="1" applyProtection="1">
      <alignment horizontal="center"/>
      <protection locked="0"/>
    </xf>
    <xf numFmtId="3" fontId="33" fillId="0" borderId="31" xfId="0" applyNumberFormat="1" applyFont="1" applyFill="1" applyBorder="1" applyAlignment="1" applyProtection="1">
      <alignment horizontal="center"/>
      <protection locked="0"/>
    </xf>
    <xf numFmtId="165" fontId="33" fillId="0" borderId="16" xfId="0" applyNumberFormat="1" applyFont="1" applyFill="1" applyBorder="1" applyAlignment="1" applyProtection="1">
      <alignment horizontal="center"/>
      <protection locked="0"/>
    </xf>
    <xf numFmtId="166" fontId="33" fillId="0" borderId="29" xfId="0" applyNumberFormat="1" applyFont="1" applyFill="1" applyBorder="1" applyAlignment="1" applyProtection="1">
      <alignment horizontal="center"/>
      <protection locked="0"/>
    </xf>
    <xf numFmtId="0" fontId="34" fillId="0" borderId="35" xfId="0" applyFont="1" applyFill="1" applyBorder="1" applyAlignment="1" applyProtection="1">
      <alignment horizontal="left"/>
      <protection locked="0"/>
    </xf>
    <xf numFmtId="0" fontId="30" fillId="0" borderId="61" xfId="0" applyFont="1" applyFill="1" applyBorder="1" applyAlignment="1" applyProtection="1">
      <alignment horizontal="left"/>
      <protection locked="0"/>
    </xf>
    <xf numFmtId="0" fontId="6" fillId="0" borderId="49" xfId="0" applyFont="1" applyBorder="1" applyProtection="1">
      <protection locked="0"/>
    </xf>
    <xf numFmtId="0" fontId="10" fillId="0" borderId="33" xfId="0" applyFont="1" applyFill="1" applyBorder="1" applyAlignment="1" applyProtection="1">
      <alignment horizontal="center"/>
      <protection locked="0"/>
    </xf>
    <xf numFmtId="0" fontId="10" fillId="0" borderId="34" xfId="0"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0" fontId="10" fillId="0" borderId="32" xfId="0" applyFont="1" applyFill="1" applyBorder="1" applyAlignment="1" applyProtection="1">
      <alignment horizontal="center"/>
      <protection locked="0"/>
    </xf>
    <xf numFmtId="0" fontId="0" fillId="0" borderId="0" xfId="0" applyAlignment="1" applyProtection="1"/>
    <xf numFmtId="3" fontId="9" fillId="11" borderId="6" xfId="0" applyNumberFormat="1" applyFont="1" applyFill="1" applyBorder="1" applyAlignment="1" applyProtection="1">
      <alignment horizontal="center"/>
    </xf>
    <xf numFmtId="180" fontId="9" fillId="11" borderId="7" xfId="0" applyNumberFormat="1" applyFont="1" applyFill="1" applyBorder="1" applyAlignment="1" applyProtection="1">
      <alignment horizontal="left"/>
    </xf>
    <xf numFmtId="0" fontId="38" fillId="0" borderId="0" xfId="0" applyFont="1"/>
    <xf numFmtId="0" fontId="23" fillId="0" borderId="0" xfId="2"/>
    <xf numFmtId="0" fontId="42" fillId="0" borderId="0" xfId="2" applyFont="1"/>
    <xf numFmtId="0" fontId="23" fillId="0" borderId="0" xfId="2" applyAlignment="1">
      <alignment horizontal="center" vertical="center"/>
    </xf>
    <xf numFmtId="0" fontId="42" fillId="0" borderId="4" xfId="2" applyFont="1" applyBorder="1" applyAlignment="1">
      <alignment horizontal="center" vertical="center" wrapText="1"/>
    </xf>
    <xf numFmtId="0" fontId="42" fillId="0" borderId="0" xfId="2" applyFont="1" applyBorder="1" applyAlignment="1">
      <alignment horizontal="center" vertical="center" wrapText="1"/>
    </xf>
    <xf numFmtId="0" fontId="42" fillId="0" borderId="5" xfId="2" applyFont="1" applyBorder="1" applyAlignment="1">
      <alignment horizontal="center" vertical="center" wrapText="1"/>
    </xf>
    <xf numFmtId="0" fontId="42" fillId="0" borderId="0" xfId="2" applyFont="1" applyAlignment="1">
      <alignment horizontal="center" vertical="center"/>
    </xf>
    <xf numFmtId="0" fontId="42" fillId="0" borderId="4" xfId="2" applyFont="1" applyBorder="1" applyAlignment="1">
      <alignment horizontal="center" vertical="center"/>
    </xf>
    <xf numFmtId="0" fontId="42" fillId="0" borderId="5" xfId="2" applyFont="1" applyBorder="1" applyAlignment="1">
      <alignment horizontal="center" vertical="center"/>
    </xf>
    <xf numFmtId="0" fontId="45" fillId="0" borderId="0" xfId="2" applyFont="1" applyAlignment="1">
      <alignment horizontal="center"/>
    </xf>
    <xf numFmtId="0" fontId="45" fillId="12" borderId="4" xfId="2" applyFont="1" applyFill="1" applyBorder="1" applyAlignment="1" applyProtection="1">
      <alignment horizontal="center"/>
      <protection locked="0"/>
    </xf>
    <xf numFmtId="0" fontId="45" fillId="0" borderId="5" xfId="2" applyFont="1" applyBorder="1" applyAlignment="1">
      <alignment horizontal="center"/>
    </xf>
    <xf numFmtId="0" fontId="45" fillId="12" borderId="4" xfId="2" applyFont="1" applyFill="1" applyBorder="1" applyProtection="1">
      <protection locked="0"/>
    </xf>
    <xf numFmtId="165" fontId="45" fillId="0" borderId="5" xfId="2" applyNumberFormat="1" applyFont="1" applyBorder="1" applyAlignment="1">
      <alignment horizontal="center"/>
    </xf>
    <xf numFmtId="0" fontId="23" fillId="0" borderId="0" xfId="2" applyAlignment="1">
      <alignment horizontal="center"/>
    </xf>
    <xf numFmtId="0" fontId="23" fillId="0" borderId="4" xfId="2" applyBorder="1" applyAlignment="1">
      <alignment horizontal="center"/>
    </xf>
    <xf numFmtId="3" fontId="23" fillId="0" borderId="0" xfId="2" applyNumberFormat="1" applyBorder="1" applyAlignment="1">
      <alignment horizontal="center"/>
    </xf>
    <xf numFmtId="2" fontId="23" fillId="0" borderId="5" xfId="2" applyNumberFormat="1" applyFont="1" applyFill="1" applyBorder="1" applyAlignment="1">
      <alignment horizontal="center"/>
    </xf>
    <xf numFmtId="2" fontId="23" fillId="0" borderId="5" xfId="2" applyNumberFormat="1" applyBorder="1" applyAlignment="1">
      <alignment horizontal="center"/>
    </xf>
    <xf numFmtId="0" fontId="23" fillId="0" borderId="4" xfId="2" applyBorder="1"/>
    <xf numFmtId="165" fontId="23" fillId="0" borderId="5" xfId="2" applyNumberFormat="1" applyBorder="1"/>
    <xf numFmtId="1" fontId="23" fillId="0" borderId="4" xfId="2" applyNumberFormat="1" applyBorder="1" applyAlignment="1">
      <alignment horizontal="center"/>
    </xf>
    <xf numFmtId="165" fontId="23" fillId="0" borderId="5" xfId="2" applyNumberFormat="1" applyBorder="1" applyAlignment="1">
      <alignment horizontal="center"/>
    </xf>
    <xf numFmtId="2" fontId="23" fillId="0" borderId="4" xfId="2" applyNumberFormat="1" applyBorder="1"/>
    <xf numFmtId="1" fontId="23" fillId="0" borderId="5" xfId="2" applyNumberFormat="1" applyFont="1" applyBorder="1" applyAlignment="1">
      <alignment horizontal="center"/>
    </xf>
    <xf numFmtId="0" fontId="42" fillId="0" borderId="0" xfId="2" applyFont="1" applyAlignment="1">
      <alignment horizontal="center" vertical="top" wrapText="1"/>
    </xf>
    <xf numFmtId="0" fontId="23" fillId="0" borderId="6" xfId="2" applyBorder="1" applyAlignment="1">
      <alignment horizontal="center"/>
    </xf>
    <xf numFmtId="2" fontId="23" fillId="0" borderId="8" xfId="2" applyNumberFormat="1" applyBorder="1" applyAlignment="1">
      <alignment horizontal="center"/>
    </xf>
    <xf numFmtId="1" fontId="23" fillId="0" borderId="6" xfId="2" applyNumberFormat="1" applyBorder="1" applyAlignment="1">
      <alignment horizontal="center"/>
    </xf>
    <xf numFmtId="165" fontId="23" fillId="0" borderId="8" xfId="2" applyNumberFormat="1" applyBorder="1" applyAlignment="1">
      <alignment horizontal="center"/>
    </xf>
    <xf numFmtId="1" fontId="23" fillId="0" borderId="0" xfId="2" applyNumberFormat="1" applyAlignment="1">
      <alignment horizontal="center"/>
    </xf>
    <xf numFmtId="165" fontId="23" fillId="0" borderId="0" xfId="2" applyNumberFormat="1" applyAlignment="1">
      <alignment horizontal="center"/>
    </xf>
    <xf numFmtId="0" fontId="23" fillId="0" borderId="6" xfId="2" applyBorder="1"/>
    <xf numFmtId="165" fontId="23" fillId="0" borderId="8" xfId="2" applyNumberFormat="1" applyBorder="1"/>
    <xf numFmtId="0" fontId="42" fillId="0" borderId="4" xfId="2" applyFont="1" applyBorder="1" applyAlignment="1">
      <alignment horizontal="center" vertical="top" wrapText="1"/>
    </xf>
    <xf numFmtId="0" fontId="42" fillId="0" borderId="5" xfId="2" applyFont="1" applyBorder="1" applyAlignment="1">
      <alignment horizontal="center" vertical="top" wrapText="1"/>
    </xf>
    <xf numFmtId="181" fontId="23" fillId="0" borderId="4" xfId="2" applyNumberFormat="1" applyBorder="1" applyAlignment="1">
      <alignment horizontal="center"/>
    </xf>
    <xf numFmtId="181" fontId="23" fillId="0" borderId="5" xfId="2" applyNumberFormat="1" applyBorder="1" applyAlignment="1">
      <alignment horizontal="center"/>
    </xf>
    <xf numFmtId="2" fontId="23" fillId="0" borderId="6" xfId="2" applyNumberFormat="1" applyBorder="1"/>
    <xf numFmtId="1" fontId="23" fillId="0" borderId="8" xfId="2" applyNumberFormat="1" applyFont="1" applyBorder="1" applyAlignment="1">
      <alignment horizontal="center"/>
    </xf>
    <xf numFmtId="3" fontId="23" fillId="0" borderId="7" xfId="2" applyNumberFormat="1" applyBorder="1" applyAlignment="1">
      <alignment horizontal="center"/>
    </xf>
    <xf numFmtId="2" fontId="23" fillId="0" borderId="8" xfId="2" applyNumberFormat="1" applyFont="1" applyFill="1" applyBorder="1" applyAlignment="1">
      <alignment horizontal="center"/>
    </xf>
    <xf numFmtId="181" fontId="23" fillId="0" borderId="6" xfId="2" applyNumberFormat="1" applyBorder="1" applyAlignment="1">
      <alignment horizontal="center"/>
    </xf>
    <xf numFmtId="181" fontId="23" fillId="0" borderId="8" xfId="2" applyNumberFormat="1" applyBorder="1" applyAlignment="1">
      <alignment horizontal="center"/>
    </xf>
    <xf numFmtId="0" fontId="23" fillId="0" borderId="0" xfId="2" applyBorder="1"/>
    <xf numFmtId="165" fontId="23" fillId="0" borderId="0" xfId="2" applyNumberFormat="1" applyBorder="1"/>
    <xf numFmtId="0" fontId="43" fillId="0" borderId="0" xfId="2" applyFont="1" applyAlignment="1">
      <alignment horizontal="center" vertical="center"/>
    </xf>
    <xf numFmtId="0" fontId="42" fillId="0" borderId="0" xfId="2" applyFont="1" applyAlignment="1">
      <alignment horizontal="center" vertical="center" wrapText="1"/>
    </xf>
    <xf numFmtId="0" fontId="23" fillId="0" borderId="0" xfId="2" applyAlignment="1">
      <alignment horizontal="center" vertical="center" wrapText="1"/>
    </xf>
    <xf numFmtId="0" fontId="45" fillId="0" borderId="0" xfId="2" applyFont="1" applyAlignment="1">
      <alignment horizontal="center" vertical="center" wrapText="1"/>
    </xf>
    <xf numFmtId="0" fontId="45" fillId="12" borderId="4" xfId="2" applyFont="1" applyFill="1" applyBorder="1" applyAlignment="1" applyProtection="1">
      <alignment horizontal="center" vertical="center" wrapText="1"/>
      <protection locked="0"/>
    </xf>
    <xf numFmtId="0" fontId="45" fillId="12" borderId="4" xfId="2" applyFont="1" applyFill="1" applyBorder="1" applyAlignment="1" applyProtection="1">
      <alignment horizontal="center" vertical="center"/>
      <protection locked="0"/>
    </xf>
    <xf numFmtId="181" fontId="45" fillId="0" borderId="0" xfId="2" applyNumberFormat="1" applyFont="1" applyAlignment="1">
      <alignment horizontal="center" vertical="center" wrapText="1"/>
    </xf>
    <xf numFmtId="0" fontId="45" fillId="0" borderId="5" xfId="2" applyFont="1" applyBorder="1" applyAlignment="1">
      <alignment horizontal="center" vertical="center" wrapText="1"/>
    </xf>
    <xf numFmtId="0" fontId="23" fillId="0" borderId="4" xfId="2" applyBorder="1" applyAlignment="1">
      <alignment horizontal="center" vertical="center"/>
    </xf>
    <xf numFmtId="3" fontId="23" fillId="0" borderId="5" xfId="2" applyNumberFormat="1" applyBorder="1" applyAlignment="1">
      <alignment horizontal="center" vertical="center"/>
    </xf>
    <xf numFmtId="1" fontId="23" fillId="0" borderId="5" xfId="2" applyNumberFormat="1" applyBorder="1" applyAlignment="1">
      <alignment horizontal="center" vertical="center"/>
    </xf>
    <xf numFmtId="165" fontId="23" fillId="0" borderId="5" xfId="2" applyNumberFormat="1" applyBorder="1" applyAlignment="1">
      <alignment horizontal="center" vertical="center"/>
    </xf>
    <xf numFmtId="181" fontId="23" fillId="0" borderId="4" xfId="2" applyNumberFormat="1" applyBorder="1" applyAlignment="1">
      <alignment horizontal="center" vertical="center"/>
    </xf>
    <xf numFmtId="181" fontId="23" fillId="0" borderId="5" xfId="2" applyNumberFormat="1" applyBorder="1" applyAlignment="1">
      <alignment horizontal="center" vertical="center"/>
    </xf>
    <xf numFmtId="181" fontId="23" fillId="0" borderId="0" xfId="2" applyNumberFormat="1" applyFont="1" applyAlignment="1">
      <alignment horizontal="center" vertical="center" wrapText="1"/>
    </xf>
    <xf numFmtId="2" fontId="23" fillId="0" borderId="5" xfId="2" applyNumberFormat="1" applyFont="1" applyBorder="1" applyAlignment="1">
      <alignment horizontal="center" vertical="center" wrapText="1"/>
    </xf>
    <xf numFmtId="0" fontId="23" fillId="0" borderId="6" xfId="2" applyBorder="1" applyAlignment="1">
      <alignment horizontal="center" vertical="center"/>
    </xf>
    <xf numFmtId="1" fontId="23" fillId="0" borderId="8" xfId="2" applyNumberFormat="1" applyBorder="1" applyAlignment="1">
      <alignment horizontal="center" vertical="center"/>
    </xf>
    <xf numFmtId="1" fontId="23" fillId="0" borderId="0" xfId="2" applyNumberFormat="1" applyAlignment="1">
      <alignment horizontal="center" vertical="center"/>
    </xf>
    <xf numFmtId="181" fontId="23" fillId="0" borderId="6" xfId="2" applyNumberFormat="1" applyBorder="1" applyAlignment="1">
      <alignment horizontal="center" vertical="center"/>
    </xf>
    <xf numFmtId="181" fontId="23" fillId="0" borderId="8" xfId="2" applyNumberFormat="1" applyBorder="1" applyAlignment="1">
      <alignment horizontal="center" vertical="center"/>
    </xf>
    <xf numFmtId="2" fontId="23" fillId="0" borderId="8" xfId="2" applyNumberFormat="1" applyFont="1" applyBorder="1" applyAlignment="1">
      <alignment horizontal="center" vertical="center" wrapText="1"/>
    </xf>
    <xf numFmtId="3" fontId="23" fillId="0" borderId="8" xfId="2" applyNumberFormat="1" applyBorder="1" applyAlignment="1">
      <alignment horizontal="center" vertical="center"/>
    </xf>
    <xf numFmtId="165" fontId="23" fillId="0" borderId="8" xfId="2" applyNumberFormat="1" applyBorder="1" applyAlignment="1">
      <alignment horizontal="center" vertical="center"/>
    </xf>
    <xf numFmtId="0" fontId="23" fillId="0" borderId="0" xfId="2" applyBorder="1" applyAlignment="1">
      <alignment horizontal="center" vertical="center"/>
    </xf>
    <xf numFmtId="0" fontId="34" fillId="0" borderId="22" xfId="0" applyFont="1" applyBorder="1" applyAlignment="1" applyProtection="1">
      <alignment horizontal="left"/>
      <protection locked="0"/>
    </xf>
    <xf numFmtId="0" fontId="34" fillId="0" borderId="56" xfId="0" applyFont="1" applyBorder="1" applyAlignment="1" applyProtection="1">
      <alignment horizontal="left"/>
      <protection locked="0"/>
    </xf>
    <xf numFmtId="0" fontId="35" fillId="0" borderId="45" xfId="0" applyFont="1" applyBorder="1" applyProtection="1">
      <protection locked="0"/>
    </xf>
    <xf numFmtId="0" fontId="34" fillId="0" borderId="60" xfId="0" applyFont="1" applyBorder="1" applyAlignment="1" applyProtection="1">
      <alignment horizontal="left"/>
      <protection locked="0"/>
    </xf>
    <xf numFmtId="0" fontId="35" fillId="0" borderId="55" xfId="0" applyFont="1" applyBorder="1" applyProtection="1">
      <protection locked="0"/>
    </xf>
    <xf numFmtId="166" fontId="34" fillId="0" borderId="60" xfId="0" applyNumberFormat="1" applyFont="1" applyBorder="1" applyAlignment="1" applyProtection="1">
      <alignment horizontal="left"/>
      <protection locked="0"/>
    </xf>
    <xf numFmtId="0" fontId="35" fillId="0" borderId="60" xfId="0" applyFont="1" applyBorder="1" applyAlignment="1" applyProtection="1">
      <alignment horizontal="left"/>
      <protection locked="0"/>
    </xf>
    <xf numFmtId="0" fontId="34" fillId="0" borderId="60" xfId="0" applyFont="1" applyFill="1" applyBorder="1" applyAlignment="1" applyProtection="1">
      <alignment horizontal="left"/>
      <protection locked="0"/>
    </xf>
    <xf numFmtId="1" fontId="45" fillId="0" borderId="0" xfId="2" applyNumberFormat="1" applyFont="1" applyBorder="1" applyAlignment="1">
      <alignment horizontal="center"/>
    </xf>
    <xf numFmtId="2" fontId="45" fillId="0" borderId="5" xfId="2" applyNumberFormat="1" applyFont="1" applyBorder="1" applyAlignment="1">
      <alignment horizontal="center"/>
    </xf>
    <xf numFmtId="2" fontId="45" fillId="0" borderId="5" xfId="2" applyNumberFormat="1" applyFont="1" applyBorder="1"/>
    <xf numFmtId="4" fontId="45" fillId="0" borderId="5" xfId="2" applyNumberFormat="1" applyFont="1" applyBorder="1" applyAlignment="1">
      <alignment horizontal="center" vertical="center"/>
    </xf>
    <xf numFmtId="165" fontId="45" fillId="0" borderId="5" xfId="2" applyNumberFormat="1" applyFont="1" applyBorder="1" applyAlignment="1">
      <alignment horizontal="center" vertical="center"/>
    </xf>
    <xf numFmtId="2" fontId="45" fillId="0" borderId="5" xfId="2" applyNumberFormat="1" applyFont="1" applyBorder="1" applyAlignment="1">
      <alignment horizontal="center" vertical="center"/>
    </xf>
    <xf numFmtId="181" fontId="45" fillId="0" borderId="5" xfId="2" applyNumberFormat="1" applyFont="1" applyBorder="1" applyAlignment="1">
      <alignment horizontal="center" vertical="center" wrapText="1"/>
    </xf>
    <xf numFmtId="0" fontId="18" fillId="5" borderId="0" xfId="0" applyFont="1" applyFill="1" applyBorder="1" applyAlignment="1" applyProtection="1">
      <alignment horizontal="center"/>
    </xf>
    <xf numFmtId="0" fontId="18" fillId="5" borderId="7" xfId="0" applyFont="1" applyFill="1" applyBorder="1" applyAlignment="1" applyProtection="1">
      <alignment horizontal="center"/>
    </xf>
    <xf numFmtId="0" fontId="18" fillId="8" borderId="0"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9" fillId="5" borderId="33" xfId="0" applyFont="1" applyFill="1" applyBorder="1" applyAlignment="1" applyProtection="1">
      <alignment horizontal="center"/>
    </xf>
    <xf numFmtId="0" fontId="19" fillId="5" borderId="45" xfId="0" applyFont="1" applyFill="1" applyBorder="1" applyAlignment="1" applyProtection="1">
      <alignment horizontal="center"/>
    </xf>
    <xf numFmtId="0" fontId="8" fillId="9" borderId="1" xfId="0" applyFont="1" applyFill="1" applyBorder="1" applyAlignment="1" applyProtection="1">
      <alignment horizontal="center" wrapText="1"/>
    </xf>
    <xf numFmtId="0" fontId="8" fillId="9" borderId="2" xfId="0" applyFont="1" applyFill="1" applyBorder="1" applyAlignment="1" applyProtection="1">
      <alignment horizontal="center" wrapText="1"/>
    </xf>
    <xf numFmtId="0" fontId="8" fillId="9" borderId="3" xfId="0" applyFont="1" applyFill="1" applyBorder="1" applyAlignment="1" applyProtection="1">
      <alignment horizontal="center" wrapText="1"/>
    </xf>
    <xf numFmtId="0" fontId="8" fillId="9" borderId="22" xfId="0" applyFont="1" applyFill="1" applyBorder="1" applyAlignment="1" applyProtection="1">
      <alignment horizontal="center" wrapText="1"/>
    </xf>
    <xf numFmtId="0" fontId="8" fillId="9" borderId="56" xfId="0" applyFont="1" applyFill="1" applyBorder="1" applyAlignment="1" applyProtection="1">
      <alignment horizontal="center" wrapText="1"/>
    </xf>
    <xf numFmtId="0" fontId="8" fillId="9" borderId="23" xfId="0" applyFont="1" applyFill="1" applyBorder="1" applyAlignment="1" applyProtection="1">
      <alignment horizontal="center" wrapText="1"/>
    </xf>
    <xf numFmtId="3" fontId="18" fillId="11" borderId="33" xfId="0" applyNumberFormat="1" applyFont="1" applyFill="1" applyBorder="1" applyAlignment="1" applyProtection="1">
      <alignment horizontal="center"/>
    </xf>
    <xf numFmtId="3" fontId="18" fillId="11" borderId="57" xfId="0" applyNumberFormat="1" applyFont="1" applyFill="1" applyBorder="1" applyAlignment="1" applyProtection="1">
      <alignment horizontal="center"/>
    </xf>
    <xf numFmtId="3" fontId="18" fillId="11" borderId="45" xfId="0" applyNumberFormat="1" applyFont="1" applyFill="1" applyBorder="1" applyAlignment="1" applyProtection="1">
      <alignment horizontal="center"/>
    </xf>
    <xf numFmtId="0" fontId="14" fillId="9" borderId="10" xfId="0" applyFont="1" applyFill="1" applyBorder="1" applyAlignment="1" applyProtection="1">
      <alignment horizontal="center"/>
    </xf>
    <xf numFmtId="0" fontId="14" fillId="9" borderId="44" xfId="0" applyFont="1" applyFill="1" applyBorder="1" applyAlignment="1" applyProtection="1">
      <alignment horizontal="center"/>
    </xf>
    <xf numFmtId="0" fontId="18" fillId="7" borderId="0" xfId="0" applyFont="1" applyFill="1" applyBorder="1" applyAlignment="1" applyProtection="1">
      <alignment horizontal="center"/>
    </xf>
    <xf numFmtId="0" fontId="18" fillId="7" borderId="7" xfId="0" applyFont="1" applyFill="1" applyBorder="1" applyAlignment="1" applyProtection="1">
      <alignment horizontal="center"/>
    </xf>
    <xf numFmtId="0" fontId="14" fillId="2" borderId="33" xfId="0" applyFont="1" applyFill="1" applyBorder="1" applyAlignment="1" applyProtection="1">
      <alignment horizontal="center"/>
    </xf>
    <xf numFmtId="0" fontId="0" fillId="0" borderId="57" xfId="0" applyBorder="1" applyAlignment="1" applyProtection="1">
      <alignment horizontal="center"/>
    </xf>
    <xf numFmtId="0" fontId="0" fillId="0" borderId="45" xfId="0" applyBorder="1" applyAlignment="1" applyProtection="1">
      <alignment horizontal="center"/>
    </xf>
    <xf numFmtId="0" fontId="14" fillId="2" borderId="17" xfId="0" applyFont="1" applyFill="1" applyBorder="1" applyAlignment="1" applyProtection="1">
      <alignment horizontal="center" vertical="center"/>
    </xf>
    <xf numFmtId="0" fontId="14" fillId="2" borderId="58"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59" xfId="0" applyFont="1" applyFill="1" applyBorder="1" applyAlignment="1" applyProtection="1">
      <alignment horizontal="center" vertical="center"/>
    </xf>
    <xf numFmtId="0" fontId="18" fillId="10" borderId="0" xfId="0" applyFont="1" applyFill="1" applyBorder="1" applyAlignment="1" applyProtection="1">
      <alignment horizontal="center"/>
    </xf>
    <xf numFmtId="0" fontId="18" fillId="10" borderId="7" xfId="0" applyFont="1" applyFill="1" applyBorder="1" applyAlignment="1" applyProtection="1">
      <alignment horizontal="center"/>
    </xf>
    <xf numFmtId="0" fontId="8" fillId="9" borderId="0" xfId="0" applyFont="1" applyFill="1" applyBorder="1" applyAlignment="1" applyProtection="1">
      <alignment horizontal="center" wrapText="1"/>
    </xf>
    <xf numFmtId="0" fontId="8" fillId="9" borderId="7" xfId="0" applyFont="1" applyFill="1" applyBorder="1" applyAlignment="1" applyProtection="1">
      <alignment horizontal="center"/>
    </xf>
    <xf numFmtId="0" fontId="43" fillId="0" borderId="33" xfId="2" applyFont="1" applyBorder="1" applyAlignment="1">
      <alignment horizontal="center" vertical="center"/>
    </xf>
    <xf numFmtId="0" fontId="43" fillId="0" borderId="45" xfId="2" applyFont="1" applyBorder="1" applyAlignment="1">
      <alignment horizontal="center" vertical="center"/>
    </xf>
    <xf numFmtId="0" fontId="43" fillId="0" borderId="33" xfId="2" applyFont="1" applyBorder="1" applyAlignment="1">
      <alignment horizontal="center"/>
    </xf>
    <xf numFmtId="0" fontId="43" fillId="0" borderId="45" xfId="2" applyFont="1" applyBorder="1" applyAlignment="1">
      <alignment horizontal="center"/>
    </xf>
    <xf numFmtId="0" fontId="43" fillId="0" borderId="57" xfId="2" applyFont="1" applyBorder="1" applyAlignment="1">
      <alignment horizontal="center" vertical="center"/>
    </xf>
  </cellXfs>
  <cellStyles count="3">
    <cellStyle name="Hyperlink 2" xfId="1"/>
    <cellStyle name="Normal" xfId="0" builtinId="0"/>
    <cellStyle name="Normal 2" xfId="2"/>
  </cellStyles>
  <dxfs count="23">
    <dxf>
      <fill>
        <patternFill>
          <bgColor indexed="10"/>
        </patternFill>
      </fill>
    </dxf>
    <dxf>
      <font>
        <condense val="0"/>
        <extend val="0"/>
        <color auto="1"/>
      </font>
      <fill>
        <patternFill>
          <bgColor indexed="43"/>
        </patternFill>
      </fill>
    </dxf>
    <dxf>
      <fill>
        <patternFill>
          <bgColor indexed="11"/>
        </patternFill>
      </fill>
    </dxf>
    <dxf>
      <fill>
        <patternFill>
          <bgColor indexed="10"/>
        </patternFill>
      </fill>
    </dxf>
    <dxf>
      <font>
        <condense val="0"/>
        <extend val="0"/>
        <color auto="1"/>
      </font>
      <fill>
        <patternFill>
          <bgColor indexed="43"/>
        </patternFill>
      </fill>
    </dxf>
    <dxf>
      <fill>
        <patternFill>
          <bgColor indexed="11"/>
        </patternFill>
      </fill>
    </dxf>
    <dxf>
      <fill>
        <patternFill>
          <bgColor indexed="10"/>
        </patternFill>
      </fill>
    </dxf>
    <dxf>
      <font>
        <condense val="0"/>
        <extend val="0"/>
        <color auto="1"/>
      </font>
      <fill>
        <patternFill>
          <bgColor indexed="43"/>
        </patternFill>
      </fill>
    </dxf>
    <dxf>
      <fill>
        <patternFill>
          <bgColor indexed="11"/>
        </patternFill>
      </fill>
    </dxf>
    <dxf>
      <font>
        <b val="0"/>
        <i val="0"/>
        <condense val="0"/>
        <extend val="0"/>
      </font>
      <fill>
        <patternFill>
          <bgColor indexed="13"/>
        </patternFill>
      </fill>
    </dxf>
    <dxf>
      <font>
        <condense val="0"/>
        <extend val="0"/>
        <color auto="1"/>
      </font>
      <fill>
        <patternFill>
          <bgColor indexed="55"/>
        </patternFill>
      </fill>
    </dxf>
    <dxf>
      <font>
        <b/>
        <i val="0"/>
        <condense val="0"/>
        <extend val="0"/>
      </font>
      <fill>
        <patternFill>
          <bgColor indexed="10"/>
        </patternFill>
      </fill>
    </dxf>
    <dxf>
      <font>
        <b/>
        <i val="0"/>
        <condense val="0"/>
        <extend val="0"/>
      </font>
      <fill>
        <patternFill>
          <bgColor indexed="43"/>
        </patternFill>
      </fill>
    </dxf>
    <dxf>
      <font>
        <b/>
        <i val="0"/>
        <condense val="0"/>
        <extend val="0"/>
        <color auto="1"/>
      </font>
      <fill>
        <patternFill>
          <bgColor indexed="11"/>
        </patternFill>
      </fill>
    </dxf>
    <dxf>
      <font>
        <b/>
        <i val="0"/>
        <color indexed="51"/>
        <name val="Cambria"/>
        <scheme val="none"/>
      </font>
      <fill>
        <patternFill patternType="none">
          <bgColor indexed="65"/>
        </patternFill>
      </fill>
    </dxf>
    <dxf>
      <font>
        <b/>
        <i val="0"/>
        <condense val="0"/>
        <extend val="0"/>
        <color indexed="17"/>
      </font>
      <fill>
        <patternFill patternType="none">
          <bgColor indexed="65"/>
        </patternFill>
      </fill>
    </dxf>
    <dxf>
      <font>
        <b/>
        <i val="0"/>
        <condense val="0"/>
        <extend val="0"/>
        <color indexed="12"/>
      </font>
      <fill>
        <patternFill patternType="none">
          <bgColor indexed="65"/>
        </patternFill>
      </fill>
    </dxf>
    <dxf>
      <font>
        <b/>
        <i val="0"/>
        <condense val="0"/>
        <extend val="0"/>
      </font>
      <fill>
        <patternFill>
          <bgColor indexed="11"/>
        </patternFill>
      </fill>
    </dxf>
    <dxf>
      <font>
        <b/>
        <i val="0"/>
        <condense val="0"/>
        <extend val="0"/>
      </font>
      <fill>
        <patternFill>
          <bgColor indexed="43"/>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43"/>
        </patternFill>
      </fill>
    </dxf>
    <dxf>
      <font>
        <b/>
        <i val="0"/>
        <condense val="0"/>
        <extend val="0"/>
      </font>
      <fill>
        <patternFill>
          <bgColor indexed="10"/>
        </patternFill>
      </fill>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1714500</xdr:colOff>
      <xdr:row>2</xdr:row>
      <xdr:rowOff>114300</xdr:rowOff>
    </xdr:from>
    <xdr:to>
      <xdr:col>8</xdr:col>
      <xdr:colOff>2581275</xdr:colOff>
      <xdr:row>7</xdr:row>
      <xdr:rowOff>152400</xdr:rowOff>
    </xdr:to>
    <xdr:sp macro="" textlink="">
      <xdr:nvSpPr>
        <xdr:cNvPr id="1027" name="Line 3"/>
        <xdr:cNvSpPr>
          <a:spLocks noChangeShapeType="1"/>
        </xdr:cNvSpPr>
      </xdr:nvSpPr>
      <xdr:spPr bwMode="auto">
        <a:xfrm flipV="1">
          <a:off x="22193250" y="1123950"/>
          <a:ext cx="3019425" cy="1885950"/>
        </a:xfrm>
        <a:prstGeom prst="line">
          <a:avLst/>
        </a:prstGeom>
        <a:noFill/>
        <a:ln w="25400">
          <a:solidFill>
            <a:srgbClr val="000000"/>
          </a:solidFill>
          <a:round/>
          <a:headEnd/>
          <a:tailEnd type="triangle" w="lg" len="lg"/>
        </a:ln>
      </xdr:spPr>
    </xdr:sp>
    <xdr:clientData/>
  </xdr:twoCellAnchor>
  <xdr:twoCellAnchor>
    <xdr:from>
      <xdr:col>7</xdr:col>
      <xdr:colOff>1809750</xdr:colOff>
      <xdr:row>9</xdr:row>
      <xdr:rowOff>133350</xdr:rowOff>
    </xdr:from>
    <xdr:to>
      <xdr:col>8</xdr:col>
      <xdr:colOff>2581275</xdr:colOff>
      <xdr:row>10</xdr:row>
      <xdr:rowOff>171450</xdr:rowOff>
    </xdr:to>
    <xdr:sp macro="" textlink="">
      <xdr:nvSpPr>
        <xdr:cNvPr id="3" name="Line 3"/>
        <xdr:cNvSpPr>
          <a:spLocks noChangeShapeType="1"/>
        </xdr:cNvSpPr>
      </xdr:nvSpPr>
      <xdr:spPr bwMode="auto">
        <a:xfrm flipV="1">
          <a:off x="22288500" y="3638550"/>
          <a:ext cx="2924175" cy="361950"/>
        </a:xfrm>
        <a:prstGeom prst="line">
          <a:avLst/>
        </a:prstGeom>
        <a:noFill/>
        <a:ln w="25400">
          <a:solidFill>
            <a:srgbClr val="000000"/>
          </a:solidFill>
          <a:round/>
          <a:headEnd/>
          <a:tailEnd type="triangle" w="lg" len="lg"/>
        </a:ln>
      </xdr:spPr>
    </xdr:sp>
    <xdr:clientData/>
  </xdr:twoCellAnchor>
  <xdr:twoCellAnchor>
    <xdr:from>
      <xdr:col>11</xdr:col>
      <xdr:colOff>2114550</xdr:colOff>
      <xdr:row>60</xdr:row>
      <xdr:rowOff>171450</xdr:rowOff>
    </xdr:from>
    <xdr:to>
      <xdr:col>12</xdr:col>
      <xdr:colOff>76200</xdr:colOff>
      <xdr:row>64</xdr:row>
      <xdr:rowOff>285750</xdr:rowOff>
    </xdr:to>
    <xdr:sp macro="" textlink="">
      <xdr:nvSpPr>
        <xdr:cNvPr id="4" name="Line 3"/>
        <xdr:cNvSpPr>
          <a:spLocks noChangeShapeType="1"/>
        </xdr:cNvSpPr>
      </xdr:nvSpPr>
      <xdr:spPr bwMode="auto">
        <a:xfrm flipV="1">
          <a:off x="32651700" y="19583400"/>
          <a:ext cx="304800" cy="1485900"/>
        </a:xfrm>
        <a:prstGeom prst="line">
          <a:avLst/>
        </a:prstGeom>
        <a:noFill/>
        <a:ln w="25400">
          <a:solidFill>
            <a:srgbClr val="000000"/>
          </a:solidFill>
          <a:round/>
          <a:headEnd/>
          <a:tailEnd type="triangle" w="lg" len="lg"/>
        </a:ln>
      </xdr:spPr>
    </xdr:sp>
    <xdr:clientData/>
  </xdr:twoCellAnchor>
  <xdr:twoCellAnchor editAs="oneCell">
    <xdr:from>
      <xdr:col>0</xdr:col>
      <xdr:colOff>95250</xdr:colOff>
      <xdr:row>0</xdr:row>
      <xdr:rowOff>114299</xdr:rowOff>
    </xdr:from>
    <xdr:to>
      <xdr:col>0</xdr:col>
      <xdr:colOff>8820150</xdr:colOff>
      <xdr:row>12</xdr:row>
      <xdr:rowOff>277356</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4299"/>
          <a:ext cx="8724900" cy="463980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111"/>
  <sheetViews>
    <sheetView showGridLines="0" showRowColHeaders="0" tabSelected="1" zoomScale="50" zoomScaleNormal="50" workbookViewId="0">
      <pane xSplit="1" ySplit="13" topLeftCell="B14" activePane="bottomRight" state="frozen"/>
      <selection pane="topRight" activeCell="B1" sqref="B1"/>
      <selection pane="bottomLeft" activeCell="A14" sqref="A14"/>
      <selection pane="bottomRight" activeCell="H1" sqref="H1"/>
    </sheetView>
  </sheetViews>
  <sheetFormatPr defaultColWidth="0" defaultRowHeight="12.75" zeroHeight="1" x14ac:dyDescent="0.2"/>
  <cols>
    <col min="1" max="1" width="133.28515625" style="108" customWidth="1"/>
    <col min="2" max="3" width="29" style="108" customWidth="1"/>
    <col min="4" max="4" width="25.28515625" style="108" customWidth="1"/>
    <col min="5" max="5" width="29.85546875" style="108" customWidth="1"/>
    <col min="6" max="6" width="39" style="108" customWidth="1"/>
    <col min="7" max="7" width="31.28515625" style="108" customWidth="1"/>
    <col min="8" max="8" width="32.140625" style="108" customWidth="1"/>
    <col min="9" max="9" width="38.7109375" style="108" customWidth="1"/>
    <col min="10" max="10" width="36.85546875" style="108" customWidth="1"/>
    <col min="11" max="11" width="32.28515625" style="108" customWidth="1"/>
    <col min="12" max="12" width="35" style="108" customWidth="1"/>
    <col min="13" max="13" width="29.5703125" style="108" customWidth="1"/>
    <col min="14" max="14" width="32.42578125" style="108" customWidth="1"/>
    <col min="15" max="15" width="28.7109375" style="108" customWidth="1"/>
    <col min="16" max="16" width="25.85546875" style="108" customWidth="1"/>
    <col min="17" max="17" width="27" style="108" customWidth="1"/>
    <col min="18" max="18" width="25.5703125" style="108" bestFit="1" customWidth="1"/>
    <col min="19" max="19" width="20.140625" style="108" customWidth="1"/>
    <col min="20" max="20" width="25.5703125" style="108" bestFit="1" customWidth="1"/>
    <col min="21" max="21" width="18.42578125" style="108" customWidth="1"/>
    <col min="22" max="22" width="19" style="108" customWidth="1"/>
    <col min="23" max="23" width="2.85546875" style="108" customWidth="1"/>
    <col min="24" max="24" width="23.5703125" style="108" bestFit="1" customWidth="1"/>
    <col min="25" max="25" width="18" style="108" customWidth="1"/>
    <col min="26" max="26" width="19.42578125" style="108" customWidth="1"/>
    <col min="27" max="27" width="3.7109375" style="108" customWidth="1"/>
    <col min="28" max="28" width="12.42578125" style="108" customWidth="1"/>
    <col min="29" max="29" width="11.28515625" style="108" customWidth="1"/>
    <col min="30" max="30" width="10.140625" style="108" customWidth="1"/>
    <col min="31" max="31" width="11.5703125" style="108" customWidth="1"/>
    <col min="32" max="32" width="13" style="108" customWidth="1"/>
    <col min="33" max="33" width="40.7109375" style="108" hidden="1" customWidth="1"/>
    <col min="34" max="34" width="10.42578125" style="108" hidden="1" customWidth="1"/>
    <col min="35" max="35" width="21.28515625" style="108" hidden="1" customWidth="1"/>
    <col min="36" max="43" width="40.7109375" style="108" hidden="1" customWidth="1"/>
    <col min="44" max="72" width="0" style="108" hidden="1" customWidth="1"/>
    <col min="73" max="16384" width="40.7109375" style="108" hidden="1"/>
  </cols>
  <sheetData>
    <row r="1" spans="1:64" ht="50.1" customHeight="1" thickBot="1" x14ac:dyDescent="0.6">
      <c r="B1" s="109" t="s">
        <v>169</v>
      </c>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row>
    <row r="2" spans="1:64" ht="30" customHeight="1" x14ac:dyDescent="0.4">
      <c r="B2" s="314" t="s">
        <v>170</v>
      </c>
      <c r="J2" s="407" t="s">
        <v>71</v>
      </c>
      <c r="K2" s="408"/>
      <c r="L2" s="408"/>
      <c r="M2" s="409"/>
      <c r="Z2" s="110"/>
      <c r="AA2" s="110"/>
      <c r="AB2" s="110"/>
      <c r="AC2" s="110"/>
      <c r="AD2" s="111"/>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row>
    <row r="3" spans="1:64" ht="30" customHeight="1" x14ac:dyDescent="0.25">
      <c r="B3" s="112"/>
      <c r="J3" s="410"/>
      <c r="K3" s="411"/>
      <c r="L3" s="411"/>
      <c r="M3" s="412"/>
      <c r="Z3" s="110"/>
      <c r="AA3" s="110"/>
      <c r="AB3" s="110"/>
      <c r="AC3" s="110"/>
      <c r="AD3" s="111"/>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64" ht="30" customHeight="1" x14ac:dyDescent="0.4">
      <c r="B4" s="113" t="s">
        <v>147</v>
      </c>
      <c r="C4" s="114"/>
      <c r="J4" s="124" t="s">
        <v>67</v>
      </c>
      <c r="K4" s="125"/>
      <c r="L4" s="125"/>
      <c r="M4" s="238">
        <v>56</v>
      </c>
      <c r="Y4" s="110"/>
      <c r="Z4" s="110"/>
      <c r="AA4" s="110"/>
      <c r="AB4" s="115"/>
      <c r="AC4" s="116"/>
      <c r="AD4" s="116"/>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row>
    <row r="5" spans="1:64" ht="30" customHeight="1" x14ac:dyDescent="0.4">
      <c r="B5" s="117"/>
      <c r="J5" s="124" t="s">
        <v>68</v>
      </c>
      <c r="K5" s="125"/>
      <c r="L5" s="125"/>
      <c r="M5" s="238">
        <v>5.5</v>
      </c>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row>
    <row r="6" spans="1:64" ht="29.25" customHeight="1" thickBot="1" x14ac:dyDescent="0.45">
      <c r="B6" s="119" t="s">
        <v>2</v>
      </c>
      <c r="J6" s="131" t="s">
        <v>72</v>
      </c>
      <c r="K6" s="132"/>
      <c r="L6" s="132"/>
      <c r="M6" s="133">
        <f>M4*M5</f>
        <v>308</v>
      </c>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row>
    <row r="7" spans="1:64" ht="24.75" customHeight="1" x14ac:dyDescent="0.35">
      <c r="B7" s="120" t="s">
        <v>43</v>
      </c>
      <c r="C7" s="121"/>
      <c r="D7" s="1">
        <v>150</v>
      </c>
      <c r="E7" s="120" t="s">
        <v>83</v>
      </c>
      <c r="F7" s="122"/>
      <c r="G7" s="123"/>
      <c r="H7" s="2">
        <v>0.15</v>
      </c>
      <c r="J7" s="124" t="s">
        <v>70</v>
      </c>
      <c r="K7" s="125"/>
      <c r="L7" s="125"/>
      <c r="M7" s="136">
        <f>ROUND(((-0.0000722*$M$4^3+0.0082834*$M$4^2-0.127783*$M$4+0.6171046)*($M$4*$M$5))-((-0.0000978*$M$4^2+0.0239515*$M$4)*($M$4*$M$5)),-1)</f>
        <v>1760</v>
      </c>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row>
    <row r="8" spans="1:64" ht="24.95" customHeight="1" thickBot="1" x14ac:dyDescent="0.4">
      <c r="B8" s="126" t="s">
        <v>44</v>
      </c>
      <c r="C8" s="127"/>
      <c r="D8" s="3">
        <v>15.3</v>
      </c>
      <c r="E8" s="126" t="s">
        <v>40</v>
      </c>
      <c r="F8" s="128"/>
      <c r="G8" s="128"/>
      <c r="H8" s="4">
        <v>2000</v>
      </c>
      <c r="J8" s="143" t="s">
        <v>69</v>
      </c>
      <c r="K8" s="144"/>
      <c r="L8" s="144"/>
      <c r="M8" s="145">
        <f>ROUND(((-0.0000722*$M$4^3+0.0082834*$M$4^2-0.127783*$M$4+0.6171046)*($M$4*$M$5))+((-0.0000978*$M$4^2+0.0239515*$M$4)*($M$4*$M$5)),-1)</f>
        <v>2400</v>
      </c>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row>
    <row r="9" spans="1:64" ht="24.95" customHeight="1" thickBot="1" x14ac:dyDescent="0.4">
      <c r="B9" s="126" t="s">
        <v>45</v>
      </c>
      <c r="C9" s="127"/>
      <c r="D9" s="3">
        <v>2.6</v>
      </c>
      <c r="E9" s="129" t="s">
        <v>42</v>
      </c>
      <c r="F9" s="130"/>
      <c r="G9" s="128"/>
      <c r="H9" s="239">
        <v>3</v>
      </c>
      <c r="J9" s="123"/>
      <c r="K9" s="123"/>
      <c r="L9" s="123"/>
      <c r="M9" s="123"/>
      <c r="Q9" s="134"/>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row>
    <row r="10" spans="1:64" ht="24.95" customHeight="1" x14ac:dyDescent="0.35">
      <c r="B10" s="126" t="s">
        <v>46</v>
      </c>
      <c r="C10" s="127"/>
      <c r="D10" s="3">
        <v>2.6</v>
      </c>
      <c r="E10" s="135" t="s">
        <v>82</v>
      </c>
      <c r="F10" s="130"/>
      <c r="G10" s="128"/>
      <c r="H10" s="5">
        <f>+IF(D11="o",18.69,16.99)*D7*3.28083*D8*3.28083</f>
        <v>461699.54467040661</v>
      </c>
      <c r="J10" s="413" t="s">
        <v>124</v>
      </c>
      <c r="K10" s="414"/>
      <c r="L10" s="414"/>
      <c r="M10" s="415"/>
      <c r="Y10" s="110"/>
      <c r="Z10" s="110"/>
      <c r="AA10" s="110"/>
      <c r="AB10" s="137"/>
      <c r="AC10" s="137"/>
      <c r="AD10" s="137"/>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row>
    <row r="11" spans="1:64" ht="24.95" customHeight="1" thickBot="1" x14ac:dyDescent="0.4">
      <c r="B11" s="138" t="s">
        <v>47</v>
      </c>
      <c r="C11" s="139"/>
      <c r="D11" s="6" t="s">
        <v>41</v>
      </c>
      <c r="E11" s="140" t="s">
        <v>4</v>
      </c>
      <c r="F11" s="141"/>
      <c r="G11" s="142"/>
      <c r="H11" s="7">
        <f>K11</f>
        <v>429624</v>
      </c>
      <c r="J11" s="312"/>
      <c r="K11" s="313">
        <f>H9*3600*($D$8*($D$9+$D$10)/2)</f>
        <v>429624</v>
      </c>
      <c r="L11" s="240"/>
      <c r="M11" s="241"/>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row>
    <row r="12" spans="1:64" ht="24.95" customHeight="1" x14ac:dyDescent="0.3">
      <c r="G12" s="128"/>
      <c r="H12" s="128"/>
      <c r="Y12" s="110"/>
      <c r="Z12" s="110"/>
      <c r="AA12" s="110"/>
      <c r="AB12" s="110"/>
      <c r="AC12" s="118"/>
      <c r="AD12" s="118"/>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row>
    <row r="13" spans="1:64" ht="21.75" customHeight="1" x14ac:dyDescent="0.3">
      <c r="A13" s="146"/>
      <c r="B13" s="146"/>
      <c r="C13" s="147"/>
      <c r="D13" s="148"/>
      <c r="E13" s="147"/>
      <c r="F13" s="149"/>
      <c r="G13" s="149"/>
      <c r="H13" s="146"/>
      <c r="J13" s="311"/>
      <c r="K13" s="150"/>
      <c r="L13" s="150"/>
      <c r="Z13" s="110"/>
      <c r="AA13" s="110"/>
      <c r="AB13" s="110"/>
      <c r="AC13" s="110"/>
      <c r="AD13" s="118"/>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row>
    <row r="14" spans="1:64" ht="21.75" customHeight="1" x14ac:dyDescent="0.3">
      <c r="A14" s="146"/>
      <c r="B14" s="146"/>
      <c r="C14" s="147"/>
      <c r="D14" s="148"/>
      <c r="E14" s="147"/>
      <c r="F14" s="149"/>
      <c r="G14" s="149"/>
      <c r="H14" s="146"/>
      <c r="K14" s="150"/>
      <c r="L14" s="150"/>
      <c r="Z14" s="110"/>
      <c r="AA14" s="110"/>
      <c r="AB14" s="110"/>
      <c r="AC14" s="110"/>
      <c r="AD14" s="118"/>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row>
    <row r="15" spans="1:64" s="152" customFormat="1" ht="109.5" customHeight="1" thickBot="1" x14ac:dyDescent="0.45">
      <c r="A15" s="242" t="s">
        <v>121</v>
      </c>
      <c r="B15" s="252"/>
      <c r="C15" s="252"/>
      <c r="D15" s="252"/>
      <c r="E15" s="252"/>
      <c r="F15" s="252"/>
      <c r="H15" s="151"/>
      <c r="Z15" s="115"/>
      <c r="AA15" s="115"/>
      <c r="AB15" s="115"/>
      <c r="AC15" s="115"/>
      <c r="AD15" s="137"/>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row>
    <row r="16" spans="1:64" s="152" customFormat="1" ht="21.95" customHeight="1" x14ac:dyDescent="0.3">
      <c r="A16" s="153" t="s">
        <v>6</v>
      </c>
      <c r="B16" s="420" t="s">
        <v>114</v>
      </c>
      <c r="C16" s="421"/>
      <c r="D16" s="421"/>
      <c r="E16" s="422"/>
      <c r="F16" s="154" t="s">
        <v>7</v>
      </c>
      <c r="G16" s="155" t="s">
        <v>8</v>
      </c>
      <c r="H16" s="423" t="s">
        <v>81</v>
      </c>
      <c r="I16" s="424"/>
      <c r="J16" s="244"/>
      <c r="Z16" s="115"/>
      <c r="AA16" s="115"/>
      <c r="AB16" s="115"/>
      <c r="AC16" s="115"/>
      <c r="AD16" s="156"/>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row>
    <row r="17" spans="1:63" s="152" customFormat="1" ht="20.25" thickBot="1" x14ac:dyDescent="0.35">
      <c r="A17" s="157"/>
      <c r="B17" s="158">
        <v>12.5</v>
      </c>
      <c r="C17" s="159">
        <v>25</v>
      </c>
      <c r="D17" s="159">
        <v>37.5</v>
      </c>
      <c r="E17" s="160">
        <v>50</v>
      </c>
      <c r="F17" s="161" t="s">
        <v>53</v>
      </c>
      <c r="G17" s="162" t="s">
        <v>85</v>
      </c>
      <c r="H17" s="425"/>
      <c r="I17" s="426"/>
      <c r="J17" s="24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row>
    <row r="18" spans="1:63" s="152" customFormat="1" ht="23.25" x14ac:dyDescent="0.35">
      <c r="A18" s="264" t="s">
        <v>113</v>
      </c>
      <c r="B18" s="265"/>
      <c r="C18" s="266"/>
      <c r="D18" s="267"/>
      <c r="E18" s="268"/>
      <c r="F18" s="269"/>
      <c r="G18" s="270"/>
      <c r="H18" s="386"/>
      <c r="I18" s="387"/>
      <c r="J18" s="388"/>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row>
    <row r="19" spans="1:63" s="152" customFormat="1" ht="23.25" x14ac:dyDescent="0.35">
      <c r="A19" s="271" t="s">
        <v>113</v>
      </c>
      <c r="B19" s="272"/>
      <c r="C19" s="273"/>
      <c r="D19" s="274"/>
      <c r="E19" s="275"/>
      <c r="F19" s="276"/>
      <c r="G19" s="277"/>
      <c r="H19" s="295"/>
      <c r="I19" s="389"/>
      <c r="J19" s="390"/>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row>
    <row r="20" spans="1:63" s="152" customFormat="1" ht="23.25" x14ac:dyDescent="0.35">
      <c r="A20" s="271" t="s">
        <v>113</v>
      </c>
      <c r="B20" s="272"/>
      <c r="C20" s="273"/>
      <c r="D20" s="274"/>
      <c r="E20" s="275"/>
      <c r="F20" s="276"/>
      <c r="G20" s="277"/>
      <c r="H20" s="295"/>
      <c r="I20" s="389"/>
      <c r="J20" s="390"/>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row>
    <row r="21" spans="1:63" s="152" customFormat="1" ht="23.25" x14ac:dyDescent="0.35">
      <c r="A21" s="271" t="s">
        <v>113</v>
      </c>
      <c r="B21" s="272"/>
      <c r="C21" s="273"/>
      <c r="D21" s="274"/>
      <c r="E21" s="275"/>
      <c r="F21" s="276"/>
      <c r="G21" s="277"/>
      <c r="H21" s="295"/>
      <c r="I21" s="389"/>
      <c r="J21" s="390"/>
      <c r="N21" s="163"/>
      <c r="Z21" s="115"/>
      <c r="AA21" s="115"/>
      <c r="AB21" s="110"/>
      <c r="AC21" s="115"/>
      <c r="AD21" s="110"/>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row>
    <row r="22" spans="1:63" s="152" customFormat="1" ht="23.25" x14ac:dyDescent="0.35">
      <c r="A22" s="271" t="s">
        <v>113</v>
      </c>
      <c r="B22" s="272"/>
      <c r="C22" s="273"/>
      <c r="D22" s="274"/>
      <c r="E22" s="275"/>
      <c r="F22" s="276"/>
      <c r="G22" s="277"/>
      <c r="H22" s="295"/>
      <c r="I22" s="389"/>
      <c r="J22" s="390"/>
      <c r="N22" s="163"/>
      <c r="Z22" s="115"/>
      <c r="AA22" s="115"/>
      <c r="AB22" s="110"/>
      <c r="AC22" s="115"/>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row>
    <row r="23" spans="1:63" s="152" customFormat="1" ht="23.25" x14ac:dyDescent="0.35">
      <c r="A23" s="278" t="s">
        <v>104</v>
      </c>
      <c r="B23" s="279">
        <v>46553</v>
      </c>
      <c r="C23" s="280">
        <v>43665</v>
      </c>
      <c r="D23" s="281">
        <v>40946</v>
      </c>
      <c r="E23" s="282">
        <v>37548</v>
      </c>
      <c r="F23" s="283">
        <v>35</v>
      </c>
      <c r="G23" s="284">
        <v>1133</v>
      </c>
      <c r="H23" s="285" t="s">
        <v>86</v>
      </c>
      <c r="I23" s="391"/>
      <c r="J23" s="390"/>
      <c r="N23" s="163"/>
      <c r="Z23" s="115"/>
      <c r="AA23" s="115"/>
      <c r="AB23" s="110"/>
      <c r="AC23" s="115"/>
      <c r="AD23" s="110"/>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row>
    <row r="24" spans="1:63" s="152" customFormat="1" ht="23.25" x14ac:dyDescent="0.35">
      <c r="A24" s="278" t="s">
        <v>105</v>
      </c>
      <c r="B24" s="286">
        <v>46720</v>
      </c>
      <c r="C24" s="287">
        <v>43665</v>
      </c>
      <c r="D24" s="288">
        <v>39925</v>
      </c>
      <c r="E24" s="289">
        <v>35850</v>
      </c>
      <c r="F24" s="290">
        <v>32.799999999999997</v>
      </c>
      <c r="G24" s="291">
        <v>1198.32</v>
      </c>
      <c r="H24" s="285" t="s">
        <v>93</v>
      </c>
      <c r="I24" s="391"/>
      <c r="J24" s="390"/>
      <c r="N24" s="163"/>
      <c r="Z24" s="115"/>
      <c r="AA24" s="115"/>
      <c r="AB24" s="110"/>
      <c r="AC24" s="115"/>
      <c r="AD24" s="110"/>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row>
    <row r="25" spans="1:63" s="152" customFormat="1" ht="21.95" customHeight="1" x14ac:dyDescent="0.35">
      <c r="A25" s="278" t="s">
        <v>106</v>
      </c>
      <c r="B25" s="286">
        <v>43665</v>
      </c>
      <c r="C25" s="287">
        <v>40605</v>
      </c>
      <c r="D25" s="288">
        <v>37038</v>
      </c>
      <c r="E25" s="289">
        <v>32790</v>
      </c>
      <c r="F25" s="290">
        <v>32.96</v>
      </c>
      <c r="G25" s="291">
        <v>1542.0900000000001</v>
      </c>
      <c r="H25" s="285" t="s">
        <v>94</v>
      </c>
      <c r="I25" s="391"/>
      <c r="J25" s="390"/>
      <c r="N25" s="163"/>
      <c r="Z25" s="115"/>
      <c r="AA25" s="115"/>
      <c r="AB25" s="110"/>
      <c r="AC25" s="115"/>
      <c r="AD25" s="110"/>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row>
    <row r="26" spans="1:63" s="152" customFormat="1" ht="21.95" customHeight="1" x14ac:dyDescent="0.35">
      <c r="A26" s="278" t="s">
        <v>107</v>
      </c>
      <c r="B26" s="286">
        <v>45363</v>
      </c>
      <c r="C26" s="287">
        <v>42645</v>
      </c>
      <c r="D26" s="288">
        <v>39417</v>
      </c>
      <c r="E26" s="289">
        <v>35509</v>
      </c>
      <c r="F26" s="290">
        <v>41.14</v>
      </c>
      <c r="G26" s="291">
        <v>1464</v>
      </c>
      <c r="H26" s="285" t="s">
        <v>87</v>
      </c>
      <c r="I26" s="391"/>
      <c r="J26" s="390"/>
      <c r="N26" s="163"/>
      <c r="Z26" s="115"/>
      <c r="AA26" s="115"/>
      <c r="AB26" s="110"/>
      <c r="AC26" s="115"/>
      <c r="AD26" s="110"/>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row>
    <row r="27" spans="1:63" s="152" customFormat="1" ht="21.95" customHeight="1" x14ac:dyDescent="0.35">
      <c r="A27" s="278" t="s">
        <v>149</v>
      </c>
      <c r="B27" s="286">
        <v>32978</v>
      </c>
      <c r="C27" s="287">
        <v>30786</v>
      </c>
      <c r="D27" s="288">
        <v>27713</v>
      </c>
      <c r="E27" s="289">
        <v>24365</v>
      </c>
      <c r="F27" s="290">
        <v>26.5</v>
      </c>
      <c r="G27" s="291">
        <v>908</v>
      </c>
      <c r="H27" s="285" t="s">
        <v>150</v>
      </c>
      <c r="I27" s="391"/>
      <c r="J27" s="390"/>
      <c r="N27" s="163"/>
      <c r="Z27" s="115"/>
      <c r="AA27" s="115"/>
      <c r="AB27" s="110"/>
      <c r="AC27" s="115"/>
      <c r="AD27" s="110"/>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row>
    <row r="28" spans="1:63" s="152" customFormat="1" ht="21.95" customHeight="1" x14ac:dyDescent="0.35">
      <c r="A28" s="278" t="s">
        <v>151</v>
      </c>
      <c r="B28" s="286">
        <v>40042</v>
      </c>
      <c r="C28" s="287">
        <v>38272</v>
      </c>
      <c r="D28" s="288">
        <v>36028</v>
      </c>
      <c r="E28" s="289">
        <v>33717</v>
      </c>
      <c r="F28" s="290">
        <v>21.76</v>
      </c>
      <c r="G28" s="291">
        <v>931.25</v>
      </c>
      <c r="H28" s="285" t="s">
        <v>152</v>
      </c>
      <c r="I28" s="391"/>
      <c r="J28" s="390"/>
      <c r="N28" s="163"/>
      <c r="Z28" s="115"/>
      <c r="AA28" s="115"/>
      <c r="AB28" s="110"/>
      <c r="AC28" s="115"/>
      <c r="AD28" s="110"/>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row>
    <row r="29" spans="1:63" s="152" customFormat="1" ht="21.95" customHeight="1" x14ac:dyDescent="0.35">
      <c r="A29" s="278" t="s">
        <v>153</v>
      </c>
      <c r="B29" s="286">
        <v>38590</v>
      </c>
      <c r="C29" s="287">
        <v>35870</v>
      </c>
      <c r="D29" s="288">
        <v>32640</v>
      </c>
      <c r="E29" s="289">
        <v>28560</v>
      </c>
      <c r="F29" s="290">
        <v>33.659999999999997</v>
      </c>
      <c r="G29" s="291">
        <v>1101</v>
      </c>
      <c r="H29" s="285" t="s">
        <v>154</v>
      </c>
      <c r="I29" s="391"/>
      <c r="J29" s="390"/>
      <c r="N29" s="163"/>
      <c r="Z29" s="115"/>
      <c r="AA29" s="115"/>
      <c r="AB29" s="110"/>
      <c r="AC29" s="115"/>
      <c r="AD29" s="110"/>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row>
    <row r="30" spans="1:63" s="152" customFormat="1" ht="21.95" customHeight="1" x14ac:dyDescent="0.35">
      <c r="A30" s="278" t="s">
        <v>155</v>
      </c>
      <c r="B30" s="286">
        <v>44401.413005853203</v>
      </c>
      <c r="C30" s="287">
        <v>42526.100417576403</v>
      </c>
      <c r="D30" s="288">
        <v>40450.726029558697</v>
      </c>
      <c r="E30" s="289">
        <v>38017.6613741459</v>
      </c>
      <c r="F30" s="290">
        <v>26.732313234725201</v>
      </c>
      <c r="G30" s="291">
        <v>1121</v>
      </c>
      <c r="H30" s="285" t="s">
        <v>156</v>
      </c>
      <c r="I30" s="391"/>
      <c r="J30" s="390"/>
      <c r="N30" s="163"/>
      <c r="Z30" s="115"/>
      <c r="AA30" s="115"/>
      <c r="AB30" s="110"/>
      <c r="AC30" s="115"/>
      <c r="AD30" s="110"/>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row>
    <row r="31" spans="1:63" s="152" customFormat="1" ht="21.95" customHeight="1" x14ac:dyDescent="0.35">
      <c r="A31" s="278" t="s">
        <v>157</v>
      </c>
      <c r="B31" s="286">
        <v>44300</v>
      </c>
      <c r="C31" s="287">
        <v>40800</v>
      </c>
      <c r="D31" s="288">
        <v>36900</v>
      </c>
      <c r="E31" s="289">
        <v>32600</v>
      </c>
      <c r="F31" s="290">
        <v>36.5</v>
      </c>
      <c r="G31" s="291">
        <v>1550</v>
      </c>
      <c r="H31" s="285" t="s">
        <v>158</v>
      </c>
      <c r="I31" s="391"/>
      <c r="J31" s="390"/>
      <c r="N31" s="163"/>
      <c r="Z31" s="115"/>
      <c r="AA31" s="115"/>
      <c r="AB31" s="110"/>
      <c r="AC31" s="115"/>
      <c r="AD31" s="110"/>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row>
    <row r="32" spans="1:63" s="152" customFormat="1" ht="21.95" customHeight="1" x14ac:dyDescent="0.35">
      <c r="A32" s="278" t="s">
        <v>159</v>
      </c>
      <c r="B32" s="286">
        <v>40800</v>
      </c>
      <c r="C32" s="287">
        <v>36800</v>
      </c>
      <c r="D32" s="288">
        <v>30300</v>
      </c>
      <c r="E32" s="289">
        <v>26300</v>
      </c>
      <c r="F32" s="290">
        <v>31.9</v>
      </c>
      <c r="G32" s="291">
        <v>1500</v>
      </c>
      <c r="H32" s="285" t="s">
        <v>160</v>
      </c>
      <c r="I32" s="391"/>
      <c r="J32" s="390"/>
      <c r="N32" s="163"/>
      <c r="Z32" s="115"/>
      <c r="AA32" s="115"/>
      <c r="AB32" s="110"/>
      <c r="AC32" s="115"/>
      <c r="AD32" s="110"/>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row>
    <row r="33" spans="1:63" s="152" customFormat="1" ht="21.95" customHeight="1" x14ac:dyDescent="0.35">
      <c r="A33" s="278" t="s">
        <v>161</v>
      </c>
      <c r="B33" s="286">
        <v>44600</v>
      </c>
      <c r="C33" s="287">
        <v>41500</v>
      </c>
      <c r="D33" s="288">
        <v>37900</v>
      </c>
      <c r="E33" s="289">
        <v>34200</v>
      </c>
      <c r="F33" s="290">
        <v>30.1</v>
      </c>
      <c r="G33" s="291">
        <v>1500</v>
      </c>
      <c r="H33" s="285" t="s">
        <v>162</v>
      </c>
      <c r="I33" s="391"/>
      <c r="J33" s="390"/>
      <c r="N33" s="163"/>
      <c r="Z33" s="115"/>
      <c r="AA33" s="115"/>
      <c r="AB33" s="110"/>
      <c r="AC33" s="115"/>
      <c r="AD33" s="110"/>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row>
    <row r="34" spans="1:63" s="152" customFormat="1" ht="21.95" customHeight="1" x14ac:dyDescent="0.35">
      <c r="A34" s="278" t="s">
        <v>103</v>
      </c>
      <c r="B34" s="286">
        <v>49470</v>
      </c>
      <c r="C34" s="287">
        <v>46070</v>
      </c>
      <c r="D34" s="288">
        <v>41310</v>
      </c>
      <c r="E34" s="289">
        <v>34340</v>
      </c>
      <c r="F34" s="290">
        <v>31.2</v>
      </c>
      <c r="G34" s="291">
        <v>2189</v>
      </c>
      <c r="H34" s="285" t="s">
        <v>88</v>
      </c>
      <c r="I34" s="391"/>
      <c r="J34" s="390"/>
      <c r="N34" s="163"/>
      <c r="Z34" s="115"/>
      <c r="AA34" s="115"/>
      <c r="AB34" s="110"/>
      <c r="AC34" s="115"/>
      <c r="AD34" s="110"/>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row>
    <row r="35" spans="1:63" s="152" customFormat="1" ht="21.95" customHeight="1" x14ac:dyDescent="0.35">
      <c r="A35" s="278" t="s">
        <v>108</v>
      </c>
      <c r="B35" s="292">
        <v>54400</v>
      </c>
      <c r="C35" s="288">
        <v>50320</v>
      </c>
      <c r="D35" s="288">
        <v>44880</v>
      </c>
      <c r="E35" s="289">
        <v>36890</v>
      </c>
      <c r="F35" s="290">
        <v>33.799999999999997</v>
      </c>
      <c r="G35" s="291">
        <v>2445</v>
      </c>
      <c r="H35" s="285" t="s">
        <v>89</v>
      </c>
      <c r="I35" s="391"/>
      <c r="J35" s="390"/>
      <c r="N35" s="163"/>
      <c r="Z35" s="115"/>
      <c r="AA35" s="115"/>
      <c r="AB35" s="110"/>
      <c r="AC35" s="115"/>
      <c r="AD35" s="110"/>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row>
    <row r="36" spans="1:63" s="152" customFormat="1" ht="21.95" customHeight="1" x14ac:dyDescent="0.35">
      <c r="A36" s="278" t="s">
        <v>101</v>
      </c>
      <c r="B36" s="286">
        <v>40235.599999999999</v>
      </c>
      <c r="C36" s="287">
        <v>37655</v>
      </c>
      <c r="D36" s="288">
        <v>34690.199999999997</v>
      </c>
      <c r="E36" s="289">
        <v>29998.2</v>
      </c>
      <c r="F36" s="290">
        <v>32.64</v>
      </c>
      <c r="G36" s="291">
        <v>1758</v>
      </c>
      <c r="H36" s="285" t="s">
        <v>163</v>
      </c>
      <c r="I36" s="391"/>
      <c r="J36" s="390"/>
      <c r="N36" s="163"/>
      <c r="Z36" s="115"/>
      <c r="AA36" s="115"/>
      <c r="AB36" s="110"/>
      <c r="AC36" s="115"/>
      <c r="AD36" s="110"/>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row>
    <row r="37" spans="1:63" s="152" customFormat="1" ht="21.95" customHeight="1" x14ac:dyDescent="0.35">
      <c r="A37" s="278" t="s">
        <v>100</v>
      </c>
      <c r="B37" s="286">
        <v>45042</v>
      </c>
      <c r="C37" s="287">
        <v>42720</v>
      </c>
      <c r="D37" s="288">
        <v>40294</v>
      </c>
      <c r="E37" s="289">
        <v>37303</v>
      </c>
      <c r="F37" s="290">
        <v>26.33</v>
      </c>
      <c r="G37" s="291">
        <v>1830</v>
      </c>
      <c r="H37" s="285" t="s">
        <v>163</v>
      </c>
      <c r="I37" s="391"/>
      <c r="J37" s="390"/>
      <c r="N37" s="163"/>
      <c r="Z37" s="115"/>
      <c r="AA37" s="115"/>
      <c r="AB37" s="110"/>
      <c r="AC37" s="115"/>
      <c r="AD37" s="110"/>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row>
    <row r="38" spans="1:63" s="152" customFormat="1" ht="21.95" customHeight="1" x14ac:dyDescent="0.35">
      <c r="A38" s="278" t="s">
        <v>99</v>
      </c>
      <c r="B38" s="286">
        <v>48875</v>
      </c>
      <c r="C38" s="287">
        <v>46711</v>
      </c>
      <c r="D38" s="288">
        <v>44529</v>
      </c>
      <c r="E38" s="289">
        <v>42089.599999999999</v>
      </c>
      <c r="F38" s="290">
        <v>20.100000000000001</v>
      </c>
      <c r="G38" s="291">
        <v>1892</v>
      </c>
      <c r="H38" s="285" t="s">
        <v>163</v>
      </c>
      <c r="I38" s="391"/>
      <c r="J38" s="390"/>
      <c r="N38" s="163"/>
      <c r="Z38" s="115"/>
      <c r="AA38" s="115"/>
      <c r="AB38" s="110"/>
      <c r="AC38" s="115"/>
      <c r="AD38" s="110"/>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row>
    <row r="39" spans="1:63" s="152" customFormat="1" ht="21.95" customHeight="1" x14ac:dyDescent="0.35">
      <c r="A39" s="278" t="s">
        <v>164</v>
      </c>
      <c r="B39" s="286">
        <v>31387</v>
      </c>
      <c r="C39" s="287">
        <v>29053</v>
      </c>
      <c r="D39" s="288">
        <v>26651</v>
      </c>
      <c r="E39" s="289">
        <v>23774</v>
      </c>
      <c r="F39" s="290">
        <v>31.3</v>
      </c>
      <c r="G39" s="291">
        <v>1458</v>
      </c>
      <c r="H39" s="285" t="s">
        <v>163</v>
      </c>
      <c r="I39" s="391"/>
      <c r="J39" s="390"/>
      <c r="N39" s="163"/>
      <c r="Z39" s="115"/>
      <c r="AA39" s="115"/>
      <c r="AB39" s="110"/>
      <c r="AC39" s="115"/>
      <c r="AD39" s="110"/>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row>
    <row r="40" spans="1:63" s="152" customFormat="1" ht="21.95" customHeight="1" x14ac:dyDescent="0.35">
      <c r="A40" s="278" t="s">
        <v>109</v>
      </c>
      <c r="B40" s="286">
        <v>41310</v>
      </c>
      <c r="C40" s="287">
        <v>37570</v>
      </c>
      <c r="D40" s="288">
        <v>33150</v>
      </c>
      <c r="E40" s="289">
        <v>26350</v>
      </c>
      <c r="F40" s="290">
        <v>30.43</v>
      </c>
      <c r="G40" s="291">
        <v>1708</v>
      </c>
      <c r="H40" s="285" t="s">
        <v>165</v>
      </c>
      <c r="I40" s="391"/>
      <c r="J40" s="390"/>
      <c r="N40" s="163"/>
      <c r="Z40" s="115"/>
      <c r="AA40" s="115"/>
      <c r="AB40" s="110"/>
      <c r="AC40" s="115"/>
      <c r="AD40" s="110"/>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row>
    <row r="41" spans="1:63" s="152" customFormat="1" ht="21.95" customHeight="1" x14ac:dyDescent="0.35">
      <c r="A41" s="278" t="s">
        <v>112</v>
      </c>
      <c r="B41" s="286">
        <v>43494</v>
      </c>
      <c r="C41" s="287">
        <v>40266</v>
      </c>
      <c r="D41" s="288">
        <v>36019</v>
      </c>
      <c r="E41" s="289">
        <v>30752</v>
      </c>
      <c r="F41" s="290">
        <v>46.2</v>
      </c>
      <c r="G41" s="291">
        <v>1888</v>
      </c>
      <c r="H41" s="285" t="s">
        <v>166</v>
      </c>
      <c r="I41" s="391"/>
      <c r="J41" s="390"/>
      <c r="N41" s="163"/>
      <c r="Z41" s="115"/>
      <c r="AA41" s="115"/>
      <c r="AB41" s="110"/>
      <c r="AC41" s="115"/>
      <c r="AD41" s="110"/>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row>
    <row r="42" spans="1:63" s="152" customFormat="1" ht="21.95" customHeight="1" x14ac:dyDescent="0.35">
      <c r="A42" s="278" t="s">
        <v>102</v>
      </c>
      <c r="B42" s="286">
        <v>35530</v>
      </c>
      <c r="C42" s="287">
        <v>32300</v>
      </c>
      <c r="D42" s="288">
        <v>28050</v>
      </c>
      <c r="E42" s="289">
        <v>21590</v>
      </c>
      <c r="F42" s="290">
        <v>33.49</v>
      </c>
      <c r="G42" s="291">
        <v>1470</v>
      </c>
      <c r="H42" s="285" t="s">
        <v>90</v>
      </c>
      <c r="I42" s="391"/>
      <c r="J42" s="390"/>
      <c r="N42" s="163"/>
      <c r="Z42" s="115"/>
      <c r="AA42" s="115"/>
      <c r="AB42" s="110"/>
      <c r="AC42" s="115"/>
      <c r="AD42" s="110"/>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row>
    <row r="43" spans="1:63" s="152" customFormat="1" ht="21.95" customHeight="1" x14ac:dyDescent="0.35">
      <c r="A43" s="278" t="s">
        <v>167</v>
      </c>
      <c r="B43" s="286">
        <v>51310</v>
      </c>
      <c r="C43" s="287">
        <v>47912</v>
      </c>
      <c r="D43" s="288">
        <v>43834</v>
      </c>
      <c r="E43" s="289">
        <v>39926</v>
      </c>
      <c r="F43" s="290">
        <v>33.799999999999997</v>
      </c>
      <c r="G43" s="291">
        <v>1542</v>
      </c>
      <c r="H43" s="285" t="s">
        <v>168</v>
      </c>
      <c r="I43" s="391"/>
      <c r="J43" s="390"/>
      <c r="N43" s="163"/>
      <c r="Z43" s="115"/>
      <c r="AA43" s="115"/>
      <c r="AB43" s="110"/>
      <c r="AC43" s="115"/>
      <c r="AD43" s="110"/>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row>
    <row r="44" spans="1:63" s="152" customFormat="1" ht="21.95" customHeight="1" x14ac:dyDescent="0.35">
      <c r="A44" s="278" t="s">
        <v>91</v>
      </c>
      <c r="B44" s="286">
        <v>35400</v>
      </c>
      <c r="C44" s="287">
        <v>32100</v>
      </c>
      <c r="D44" s="288">
        <v>27200</v>
      </c>
      <c r="E44" s="289">
        <v>22500</v>
      </c>
      <c r="F44" s="290">
        <v>27.3</v>
      </c>
      <c r="G44" s="291">
        <v>720</v>
      </c>
      <c r="H44" s="285" t="s">
        <v>95</v>
      </c>
      <c r="I44" s="391"/>
      <c r="J44" s="390"/>
      <c r="N44" s="163"/>
      <c r="Z44" s="115"/>
      <c r="AA44" s="115"/>
      <c r="AB44" s="110"/>
      <c r="AC44" s="115"/>
      <c r="AD44" s="110"/>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row>
    <row r="45" spans="1:63" s="152" customFormat="1" ht="21.95" customHeight="1" x14ac:dyDescent="0.35">
      <c r="A45" s="278" t="s">
        <v>92</v>
      </c>
      <c r="B45" s="286">
        <v>40200</v>
      </c>
      <c r="C45" s="287">
        <v>37800</v>
      </c>
      <c r="D45" s="288">
        <v>34600</v>
      </c>
      <c r="E45" s="289">
        <v>30600</v>
      </c>
      <c r="F45" s="290">
        <v>25.4</v>
      </c>
      <c r="G45" s="291">
        <v>720</v>
      </c>
      <c r="H45" s="285" t="s">
        <v>96</v>
      </c>
      <c r="I45" s="391"/>
      <c r="J45" s="390"/>
      <c r="N45" s="163"/>
      <c r="Z45" s="115"/>
      <c r="AA45" s="115"/>
      <c r="AB45" s="110"/>
      <c r="AC45" s="115"/>
      <c r="AD45" s="110"/>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row>
    <row r="46" spans="1:63" s="152" customFormat="1" ht="21.95" customHeight="1" x14ac:dyDescent="0.35">
      <c r="A46" s="278" t="s">
        <v>110</v>
      </c>
      <c r="B46" s="286">
        <v>38800</v>
      </c>
      <c r="C46" s="287">
        <v>35800</v>
      </c>
      <c r="D46" s="288">
        <v>32400</v>
      </c>
      <c r="E46" s="289">
        <v>28200</v>
      </c>
      <c r="F46" s="290">
        <v>30.6</v>
      </c>
      <c r="G46" s="293">
        <v>890</v>
      </c>
      <c r="H46" s="285" t="s">
        <v>97</v>
      </c>
      <c r="I46" s="391"/>
      <c r="J46" s="390"/>
      <c r="N46" s="163"/>
      <c r="Z46" s="115"/>
      <c r="AA46" s="115"/>
      <c r="AB46" s="110"/>
      <c r="AC46" s="115"/>
      <c r="AD46" s="110"/>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row>
    <row r="47" spans="1:63" s="152" customFormat="1" ht="21.95" customHeight="1" thickBot="1" x14ac:dyDescent="0.4">
      <c r="A47" s="278" t="s">
        <v>111</v>
      </c>
      <c r="B47" s="292">
        <v>44100</v>
      </c>
      <c r="C47" s="288">
        <v>41700</v>
      </c>
      <c r="D47" s="288">
        <v>38900</v>
      </c>
      <c r="E47" s="289">
        <v>36100</v>
      </c>
      <c r="F47" s="294">
        <v>28.5</v>
      </c>
      <c r="G47" s="293">
        <v>890</v>
      </c>
      <c r="H47" s="285" t="s">
        <v>98</v>
      </c>
      <c r="I47" s="391"/>
      <c r="J47" s="390"/>
      <c r="M47" s="8" t="s">
        <v>148</v>
      </c>
      <c r="N47" s="8"/>
      <c r="Z47" s="115"/>
      <c r="AA47" s="115"/>
      <c r="AB47" s="110"/>
      <c r="AC47" s="115"/>
      <c r="AD47" s="110"/>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row>
    <row r="48" spans="1:63" s="152" customFormat="1" ht="21.95" customHeight="1" x14ac:dyDescent="0.35">
      <c r="A48" s="278"/>
      <c r="B48" s="286"/>
      <c r="C48" s="287"/>
      <c r="D48" s="288"/>
      <c r="E48" s="289"/>
      <c r="F48" s="290"/>
      <c r="G48" s="291"/>
      <c r="H48" s="285"/>
      <c r="I48" s="391"/>
      <c r="J48" s="390"/>
      <c r="L48" s="41" t="s">
        <v>3</v>
      </c>
      <c r="M48" s="42" t="s">
        <v>9</v>
      </c>
      <c r="N48" s="43" t="s">
        <v>7</v>
      </c>
      <c r="Z48" s="115"/>
      <c r="AA48" s="115"/>
      <c r="AB48" s="110"/>
      <c r="AC48" s="115"/>
      <c r="AD48" s="110"/>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row>
    <row r="49" spans="1:63" s="152" customFormat="1" ht="21.95" customHeight="1" x14ac:dyDescent="0.35">
      <c r="A49" s="278"/>
      <c r="B49" s="286"/>
      <c r="C49" s="287"/>
      <c r="D49" s="288"/>
      <c r="E49" s="289"/>
      <c r="F49" s="290"/>
      <c r="G49" s="291"/>
      <c r="H49" s="295"/>
      <c r="I49" s="389"/>
      <c r="J49" s="390"/>
      <c r="L49" s="164"/>
      <c r="M49" s="165" t="s">
        <v>84</v>
      </c>
      <c r="N49" s="166" t="s">
        <v>58</v>
      </c>
      <c r="Z49" s="115"/>
      <c r="AA49" s="115"/>
      <c r="AB49" s="110"/>
      <c r="AC49" s="115"/>
      <c r="AD49" s="110"/>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row>
    <row r="50" spans="1:63" s="152" customFormat="1" ht="21.95" customHeight="1" thickBot="1" x14ac:dyDescent="0.4">
      <c r="A50" s="278"/>
      <c r="B50" s="286"/>
      <c r="C50" s="287"/>
      <c r="D50" s="288"/>
      <c r="E50" s="289"/>
      <c r="F50" s="290"/>
      <c r="G50" s="291"/>
      <c r="H50" s="285"/>
      <c r="I50" s="391"/>
      <c r="J50" s="390"/>
      <c r="L50" s="167"/>
      <c r="M50" s="168" t="s">
        <v>59</v>
      </c>
      <c r="N50" s="169"/>
      <c r="Z50" s="115"/>
      <c r="AA50" s="115"/>
      <c r="AB50" s="110"/>
      <c r="AC50" s="115"/>
      <c r="AD50" s="110"/>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row>
    <row r="51" spans="1:63" s="152" customFormat="1" ht="21.95" customHeight="1" x14ac:dyDescent="0.35">
      <c r="A51" s="278"/>
      <c r="B51" s="286"/>
      <c r="C51" s="287"/>
      <c r="D51" s="288"/>
      <c r="E51" s="289"/>
      <c r="F51" s="290"/>
      <c r="G51" s="291"/>
      <c r="H51" s="295"/>
      <c r="I51" s="389"/>
      <c r="J51" s="390"/>
      <c r="L51" s="39" t="s">
        <v>10</v>
      </c>
      <c r="M51" s="39" t="s">
        <v>11</v>
      </c>
      <c r="N51" s="40" t="s">
        <v>48</v>
      </c>
      <c r="Z51" s="115"/>
      <c r="AA51" s="115"/>
      <c r="AB51" s="110"/>
      <c r="AC51" s="115"/>
      <c r="AD51" s="110"/>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row>
    <row r="52" spans="1:63" s="152" customFormat="1" ht="21.95" customHeight="1" x14ac:dyDescent="0.35">
      <c r="A52" s="278"/>
      <c r="B52" s="286"/>
      <c r="C52" s="287"/>
      <c r="D52" s="288"/>
      <c r="E52" s="289"/>
      <c r="F52" s="290"/>
      <c r="G52" s="291"/>
      <c r="H52" s="295"/>
      <c r="I52" s="389"/>
      <c r="J52" s="390"/>
      <c r="L52" s="9" t="s">
        <v>12</v>
      </c>
      <c r="M52" s="9"/>
      <c r="N52" s="10"/>
      <c r="Z52" s="115"/>
      <c r="AA52" s="115"/>
      <c r="AB52" s="110"/>
      <c r="AC52" s="115"/>
      <c r="AD52" s="110"/>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row>
    <row r="53" spans="1:63" s="152" customFormat="1" ht="21.95" customHeight="1" x14ac:dyDescent="0.35">
      <c r="A53" s="278"/>
      <c r="B53" s="292"/>
      <c r="C53" s="288"/>
      <c r="D53" s="288"/>
      <c r="E53" s="289"/>
      <c r="F53" s="294"/>
      <c r="G53" s="293"/>
      <c r="H53" s="295"/>
      <c r="I53" s="389"/>
      <c r="J53" s="390"/>
      <c r="L53" s="11" t="s">
        <v>13</v>
      </c>
      <c r="M53" s="11" t="s">
        <v>14</v>
      </c>
      <c r="N53" s="12" t="s">
        <v>49</v>
      </c>
      <c r="Z53" s="115"/>
      <c r="AA53" s="115"/>
      <c r="AB53" s="110"/>
      <c r="AC53" s="115"/>
      <c r="AD53" s="110"/>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row>
    <row r="54" spans="1:63" s="152" customFormat="1" ht="21.95" customHeight="1" x14ac:dyDescent="0.35">
      <c r="A54" s="278"/>
      <c r="B54" s="292"/>
      <c r="C54" s="288"/>
      <c r="D54" s="288"/>
      <c r="E54" s="289"/>
      <c r="F54" s="294"/>
      <c r="G54" s="293"/>
      <c r="H54" s="295"/>
      <c r="I54" s="389"/>
      <c r="J54" s="390"/>
      <c r="L54" s="13" t="s">
        <v>15</v>
      </c>
      <c r="M54" s="14"/>
      <c r="N54" s="15"/>
      <c r="Z54" s="115"/>
      <c r="AA54" s="115"/>
      <c r="AB54" s="110"/>
      <c r="AC54" s="115"/>
      <c r="AD54" s="110"/>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row>
    <row r="55" spans="1:63" s="152" customFormat="1" ht="21.95" customHeight="1" x14ac:dyDescent="0.35">
      <c r="A55" s="278"/>
      <c r="B55" s="292"/>
      <c r="C55" s="288"/>
      <c r="D55" s="288"/>
      <c r="E55" s="289"/>
      <c r="F55" s="294"/>
      <c r="G55" s="293"/>
      <c r="H55" s="295"/>
      <c r="I55" s="389"/>
      <c r="J55" s="390"/>
      <c r="L55" s="16" t="s">
        <v>16</v>
      </c>
      <c r="M55" s="16" t="s">
        <v>17</v>
      </c>
      <c r="N55" s="17" t="s">
        <v>50</v>
      </c>
      <c r="Z55" s="115"/>
      <c r="AA55" s="115"/>
      <c r="AB55" s="110"/>
      <c r="AC55" s="115"/>
      <c r="AD55" s="110"/>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row>
    <row r="56" spans="1:63" s="152" customFormat="1" ht="21.95" customHeight="1" x14ac:dyDescent="0.35">
      <c r="A56" s="278"/>
      <c r="B56" s="292"/>
      <c r="C56" s="288"/>
      <c r="D56" s="288"/>
      <c r="E56" s="289"/>
      <c r="F56" s="294"/>
      <c r="G56" s="293"/>
      <c r="H56" s="296"/>
      <c r="I56" s="392"/>
      <c r="J56" s="390"/>
      <c r="L56" s="18" t="s">
        <v>18</v>
      </c>
      <c r="M56" s="19"/>
      <c r="N56" s="20"/>
      <c r="Z56" s="115"/>
      <c r="AA56" s="115"/>
      <c r="AB56" s="110"/>
      <c r="AC56" s="115"/>
      <c r="AD56" s="110"/>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row>
    <row r="57" spans="1:63" s="152" customFormat="1" ht="21.95" customHeight="1" x14ac:dyDescent="0.35">
      <c r="A57" s="278"/>
      <c r="B57" s="292"/>
      <c r="C57" s="288"/>
      <c r="D57" s="288"/>
      <c r="E57" s="289"/>
      <c r="F57" s="294"/>
      <c r="G57" s="293"/>
      <c r="H57" s="295"/>
      <c r="I57" s="389"/>
      <c r="J57" s="390"/>
      <c r="L57" s="16" t="s">
        <v>19</v>
      </c>
      <c r="M57" s="16" t="s">
        <v>20</v>
      </c>
      <c r="N57" s="17" t="s">
        <v>51</v>
      </c>
      <c r="Z57" s="115"/>
      <c r="AA57" s="115"/>
      <c r="AB57" s="110"/>
      <c r="AC57" s="115"/>
      <c r="AD57" s="110"/>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row>
    <row r="58" spans="1:63" s="152" customFormat="1" ht="21.95" customHeight="1" x14ac:dyDescent="0.35">
      <c r="A58" s="278"/>
      <c r="B58" s="292"/>
      <c r="C58" s="288"/>
      <c r="D58" s="288"/>
      <c r="E58" s="289"/>
      <c r="F58" s="294"/>
      <c r="G58" s="293"/>
      <c r="H58" s="295"/>
      <c r="I58" s="389"/>
      <c r="J58" s="390"/>
      <c r="L58" s="18" t="s">
        <v>21</v>
      </c>
      <c r="M58" s="19"/>
      <c r="N58" s="20"/>
      <c r="Z58" s="115"/>
      <c r="AA58" s="115"/>
      <c r="AB58" s="110"/>
      <c r="AC58" s="115"/>
      <c r="AD58" s="110"/>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row>
    <row r="59" spans="1:63" s="152" customFormat="1" ht="21.95" customHeight="1" thickBot="1" x14ac:dyDescent="0.4">
      <c r="A59" s="278"/>
      <c r="B59" s="292"/>
      <c r="C59" s="288"/>
      <c r="D59" s="288"/>
      <c r="E59" s="289"/>
      <c r="F59" s="294"/>
      <c r="G59" s="293"/>
      <c r="H59" s="297"/>
      <c r="I59" s="393"/>
      <c r="J59" s="390"/>
      <c r="L59" s="73" t="s">
        <v>22</v>
      </c>
      <c r="M59" s="73" t="s">
        <v>23</v>
      </c>
      <c r="N59" s="74" t="s">
        <v>52</v>
      </c>
      <c r="Z59" s="115"/>
      <c r="AA59" s="115"/>
      <c r="AB59" s="110"/>
      <c r="AC59" s="115"/>
      <c r="AD59" s="110"/>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row>
    <row r="60" spans="1:63" s="152" customFormat="1" ht="21.95" customHeight="1" thickBot="1" x14ac:dyDescent="0.4">
      <c r="A60" s="298"/>
      <c r="B60" s="299"/>
      <c r="C60" s="300"/>
      <c r="D60" s="300"/>
      <c r="E60" s="301"/>
      <c r="F60" s="302"/>
      <c r="G60" s="303"/>
      <c r="H60" s="304"/>
      <c r="I60" s="305"/>
      <c r="J60" s="306"/>
      <c r="L60" s="70" t="s">
        <v>24</v>
      </c>
      <c r="M60" s="71"/>
      <c r="N60" s="72"/>
      <c r="AB60" s="108"/>
      <c r="AD60" s="108"/>
    </row>
    <row r="61" spans="1:63" s="152" customFormat="1" ht="21.95" customHeight="1" x14ac:dyDescent="0.35">
      <c r="A61" s="170"/>
      <c r="B61" s="171"/>
      <c r="C61" s="171"/>
      <c r="D61" s="171"/>
      <c r="E61" s="171"/>
      <c r="F61" s="172"/>
      <c r="G61" s="173"/>
      <c r="AB61" s="108"/>
      <c r="AD61" s="108"/>
    </row>
    <row r="62" spans="1:63" s="152" customFormat="1" ht="21.95" customHeight="1" x14ac:dyDescent="0.35">
      <c r="B62" s="174"/>
      <c r="C62" s="175"/>
      <c r="D62" s="175"/>
      <c r="E62" s="175"/>
      <c r="F62" s="176"/>
      <c r="G62" s="176"/>
      <c r="H62" s="177"/>
      <c r="I62" s="178"/>
      <c r="J62" s="64"/>
      <c r="K62" s="65"/>
      <c r="L62" s="66"/>
      <c r="M62" s="243"/>
      <c r="N62" s="163"/>
      <c r="AB62" s="108"/>
    </row>
    <row r="63" spans="1:63" s="152" customFormat="1" ht="21.95" customHeight="1" x14ac:dyDescent="0.35">
      <c r="B63" s="174"/>
      <c r="C63" s="175"/>
      <c r="D63" s="175"/>
      <c r="E63" s="175"/>
      <c r="F63" s="175"/>
      <c r="G63" s="176"/>
      <c r="H63" s="177"/>
      <c r="I63" s="178"/>
      <c r="J63" s="64"/>
      <c r="K63" s="65"/>
      <c r="L63" s="65"/>
      <c r="M63" s="66"/>
      <c r="O63" s="163"/>
      <c r="AC63" s="108"/>
      <c r="AE63" s="108"/>
    </row>
    <row r="64" spans="1:63" ht="39.75" customHeight="1" x14ac:dyDescent="0.4">
      <c r="A64" s="429" t="s">
        <v>123</v>
      </c>
      <c r="B64" s="253"/>
      <c r="C64" s="253"/>
      <c r="D64" s="253"/>
      <c r="E64" s="253"/>
      <c r="F64" s="253"/>
      <c r="G64" s="253"/>
      <c r="H64" s="253"/>
      <c r="I64" s="253"/>
      <c r="J64" s="253"/>
      <c r="K64" s="427" t="s">
        <v>74</v>
      </c>
      <c r="L64" s="427"/>
      <c r="M64" s="427"/>
      <c r="N64" s="427"/>
      <c r="O64" s="418" t="s">
        <v>75</v>
      </c>
      <c r="P64" s="418"/>
      <c r="Q64" s="418"/>
      <c r="R64" s="401" t="s">
        <v>76</v>
      </c>
      <c r="S64" s="401"/>
      <c r="T64" s="401"/>
      <c r="U64" s="401"/>
      <c r="V64" s="401"/>
      <c r="W64" s="66"/>
      <c r="X64" s="403" t="s">
        <v>73</v>
      </c>
      <c r="Y64" s="403"/>
      <c r="Z64" s="403"/>
    </row>
    <row r="65" spans="1:32" ht="50.25" customHeight="1" thickBot="1" x14ac:dyDescent="0.45">
      <c r="A65" s="430"/>
      <c r="B65" s="254"/>
      <c r="C65" s="254"/>
      <c r="D65" s="254"/>
      <c r="E65" s="254"/>
      <c r="F65" s="254"/>
      <c r="G65" s="254"/>
      <c r="H65" s="254"/>
      <c r="I65" s="254"/>
      <c r="J65" s="254"/>
      <c r="K65" s="428"/>
      <c r="L65" s="428"/>
      <c r="M65" s="428"/>
      <c r="N65" s="428"/>
      <c r="O65" s="419"/>
      <c r="P65" s="419"/>
      <c r="Q65" s="419"/>
      <c r="R65" s="402"/>
      <c r="S65" s="402"/>
      <c r="T65" s="402"/>
      <c r="U65" s="402"/>
      <c r="V65" s="402"/>
      <c r="W65" s="66"/>
      <c r="X65" s="404"/>
      <c r="Y65" s="404"/>
      <c r="Z65" s="404"/>
      <c r="AB65" s="146"/>
      <c r="AC65" s="146"/>
      <c r="AD65" s="146"/>
      <c r="AE65" s="50"/>
      <c r="AF65" s="146"/>
    </row>
    <row r="66" spans="1:32" ht="21.95" customHeight="1" x14ac:dyDescent="0.35">
      <c r="A66" s="416" t="s">
        <v>25</v>
      </c>
      <c r="B66" s="58" t="s">
        <v>26</v>
      </c>
      <c r="C66" s="59" t="s">
        <v>27</v>
      </c>
      <c r="D66" s="60" t="s">
        <v>28</v>
      </c>
      <c r="E66" s="60" t="s">
        <v>116</v>
      </c>
      <c r="F66" s="60" t="s">
        <v>29</v>
      </c>
      <c r="G66" s="60" t="s">
        <v>119</v>
      </c>
      <c r="H66" s="60" t="s">
        <v>30</v>
      </c>
      <c r="I66" s="60" t="s">
        <v>118</v>
      </c>
      <c r="J66" s="61" t="s">
        <v>115</v>
      </c>
      <c r="K66" s="90" t="s">
        <v>9</v>
      </c>
      <c r="L66" s="91" t="s">
        <v>9</v>
      </c>
      <c r="M66" s="91" t="s">
        <v>7</v>
      </c>
      <c r="N66" s="179" t="s">
        <v>7</v>
      </c>
      <c r="O66" s="44" t="s">
        <v>36</v>
      </c>
      <c r="P66" s="45" t="s">
        <v>37</v>
      </c>
      <c r="Q66" s="46" t="s">
        <v>37</v>
      </c>
      <c r="R66" s="180"/>
      <c r="S66" s="405" t="s">
        <v>38</v>
      </c>
      <c r="T66" s="406"/>
      <c r="U66" s="405" t="s">
        <v>39</v>
      </c>
      <c r="V66" s="406"/>
      <c r="W66" s="181"/>
      <c r="X66" s="182" t="s">
        <v>63</v>
      </c>
      <c r="Y66" s="183" t="s">
        <v>64</v>
      </c>
      <c r="Z66" s="184" t="s">
        <v>66</v>
      </c>
      <c r="AB66" s="248" t="s">
        <v>0</v>
      </c>
      <c r="AC66" s="248" t="s">
        <v>1</v>
      </c>
      <c r="AD66" s="248" t="s">
        <v>80</v>
      </c>
      <c r="AE66" s="248" t="s">
        <v>5</v>
      </c>
      <c r="AF66" s="249" t="s">
        <v>60</v>
      </c>
    </row>
    <row r="67" spans="1:32" ht="21.95" customHeight="1" thickBot="1" x14ac:dyDescent="0.4">
      <c r="A67" s="417"/>
      <c r="B67" s="185" t="s">
        <v>31</v>
      </c>
      <c r="C67" s="186" t="s">
        <v>32</v>
      </c>
      <c r="D67" s="62" t="s">
        <v>33</v>
      </c>
      <c r="E67" s="62" t="s">
        <v>117</v>
      </c>
      <c r="F67" s="62" t="s">
        <v>34</v>
      </c>
      <c r="G67" s="62" t="s">
        <v>120</v>
      </c>
      <c r="H67" s="62" t="s">
        <v>122</v>
      </c>
      <c r="I67" s="62" t="s">
        <v>35</v>
      </c>
      <c r="J67" s="63" t="s">
        <v>35</v>
      </c>
      <c r="K67" s="187"/>
      <c r="L67" s="188"/>
      <c r="M67" s="189" t="s">
        <v>57</v>
      </c>
      <c r="N67" s="190" t="s">
        <v>57</v>
      </c>
      <c r="O67" s="47" t="s">
        <v>54</v>
      </c>
      <c r="P67" s="48" t="s">
        <v>55</v>
      </c>
      <c r="Q67" s="49" t="s">
        <v>56</v>
      </c>
      <c r="R67" s="191" t="s">
        <v>77</v>
      </c>
      <c r="S67" s="192" t="s">
        <v>78</v>
      </c>
      <c r="T67" s="193" t="s">
        <v>79</v>
      </c>
      <c r="U67" s="194" t="str">
        <f>+S67</f>
        <v>Electricity</v>
      </c>
      <c r="V67" s="193" t="str">
        <f>+T67</f>
        <v>Total</v>
      </c>
      <c r="W67" s="195"/>
      <c r="X67" s="196" t="s">
        <v>62</v>
      </c>
      <c r="Y67" s="197" t="s">
        <v>65</v>
      </c>
      <c r="Z67" s="198"/>
      <c r="AB67" s="248" t="s">
        <v>3</v>
      </c>
      <c r="AC67" s="248" t="s">
        <v>3</v>
      </c>
      <c r="AD67" s="250"/>
      <c r="AE67" s="250"/>
      <c r="AF67" s="249" t="s">
        <v>61</v>
      </c>
    </row>
    <row r="68" spans="1:32" ht="21.95" customHeight="1" x14ac:dyDescent="0.35">
      <c r="A68" s="92" t="str">
        <f t="shared" ref="A68:A98" si="0">IF(A18="","",A18)</f>
        <v>INSERT FAN NAME AND DATA HERE</v>
      </c>
      <c r="B68" s="199">
        <f t="shared" ref="B68:B110" si="1">IF(A68="","",IF($H$9&gt;3.65,50,IF($H$9&gt;=3,37.5, IF($H$9&gt;=2.25,25,IF($H$9&gt;=1.5,12.5,0.05)))))</f>
        <v>37.5</v>
      </c>
      <c r="C68" s="200">
        <f t="shared" ref="C68:C110" si="2">IF(B68="","",IF($H$9&gt;3.65,E18,IF($H$9&gt;=3,D18, IF($H$9&gt;=2.25,C18,IF($H$9&gt;=1.5,B18,B18)))))</f>
        <v>0</v>
      </c>
      <c r="D68" s="23" t="e">
        <f t="shared" ref="D68:D110" si="3">+IF(A18="","",ROUNDUP(AE68/C68,0))</f>
        <v>#DIV/0!</v>
      </c>
      <c r="E68" s="307">
        <v>0</v>
      </c>
      <c r="F68" s="22" t="e">
        <f t="shared" ref="F68:F106" si="4">+IF(C68="","",IF(E68&gt;0,ROUND(C68*E68,-2),ROUND(C68*D68,-2)))</f>
        <v>#DIV/0!</v>
      </c>
      <c r="G68" s="256" t="str">
        <f t="shared" ref="G68:G72" si="5">+IF(F18="","",IF(E68&gt;0,ROUND((E68*(($C18)/(($F18)))/1000),1),ROUND((D68*(($C18)/(($F18)))/1000),1)))</f>
        <v/>
      </c>
      <c r="H68" s="21" t="str">
        <f t="shared" ref="H68:H110" si="6">+IF(F18="","",IF(E68&gt;0,ROUND((E68*(($C18)/(($F18)))/1000*$H$8*$H$7),-1),ROUND((D68*(($C18)/(($F18)))/1000*$H$8*$H$7),-1)))</f>
        <v/>
      </c>
      <c r="I68" s="67" t="e">
        <f>+IF(F68="","",ROUND((F68/($D$8*($D$9+$D$10)/2)/3600),2))</f>
        <v>#DIV/0!</v>
      </c>
      <c r="J68" s="36" t="e">
        <f>IF(I68="","",IF(I68&gt;3.302,0.8676*3.302^2+0.0787*3.302-0.0034,0.8676*I68^2+0.0787*I68-0.0034))</f>
        <v>#DIV/0!</v>
      </c>
      <c r="K68" s="78" t="str">
        <f t="shared" ref="K68:K98" si="7">IF(OR(E18="",B18=""),"",ROUND(E18/B18,2))</f>
        <v/>
      </c>
      <c r="L68" s="79" t="str">
        <f t="shared" ref="L68:L110" si="8">IF(OR(E18="",B18=""),"",IF(INT(AC68)&lt;=0,"POOR",IF(INT(AC68)=1,"MIN ACCEPTABLE",IF(INT(AC68)=2,"GOOD",IF(INT(AC68)=3,"EXCELLENT",IF(INT(AC68)=4,"OUTSTANDING"))))))</f>
        <v/>
      </c>
      <c r="M68" s="80" t="str">
        <f t="shared" ref="M68:M110" si="9">IF(OR(A68="",F18=""),"",F18)</f>
        <v/>
      </c>
      <c r="N68" s="81" t="str">
        <f t="shared" ref="N68:N110" si="10">IF(F18="","",IF(INT(AB68)&lt;=0,"POOR",IF(INT(AB68)=1,"MIN ACCEPTABLE",IF(INT(AB68)=2,"GOOD",IF(INT(AB68)=3,"EXCELLENT",IF(INT(AB68)=4,"OUTSTANDING"))))))</f>
        <v/>
      </c>
      <c r="O68" s="29" t="e">
        <f t="shared" ref="O68:O110" si="11">+IF(A68="","",IF(E68&gt;0,E68*AF68/6858,D68*AF68/6858))</f>
        <v>#DIV/0!</v>
      </c>
      <c r="P68" s="30" t="e">
        <f>+IF(A68="","",F68*0.00334)</f>
        <v>#DIV/0!</v>
      </c>
      <c r="Q68" s="31" t="e">
        <f>+IF(A68="","",F68*0.00631)</f>
        <v>#DIV/0!</v>
      </c>
      <c r="R68" s="201" t="str">
        <f t="shared" ref="R68:R110" si="12">IF(G18="","",IF(E68&gt;0,G18*E68,G18*D68))</f>
        <v/>
      </c>
      <c r="S68" s="202" t="str">
        <f>+IF(H68="","",H68*5)</f>
        <v/>
      </c>
      <c r="T68" s="203" t="str">
        <f>IF(R68="","",+R68+S68)</f>
        <v/>
      </c>
      <c r="U68" s="204" t="str">
        <f>+IF(S68="","",S68*2)</f>
        <v/>
      </c>
      <c r="V68" s="205" t="str">
        <f>+IF(R68="","",U68+R68)</f>
        <v/>
      </c>
      <c r="W68" s="206"/>
      <c r="X68" s="258" t="str">
        <f>IF(F18="","",RANK($F18,$F$18:$F$60,0))</f>
        <v/>
      </c>
      <c r="Y68" s="259" t="str">
        <f>IF($K68="","",RANK($K68,$K$68:$K$110,0))</f>
        <v/>
      </c>
      <c r="Z68" s="260" t="str">
        <f>IF($V68="","",RANK($V68,$V$68:$V$110,1))</f>
        <v/>
      </c>
      <c r="AB68" s="250" t="str">
        <f t="shared" ref="AB68:AB83" si="13">+IF(F18="","",IF(F18&gt;=37.38,4,IF(F18&gt;=35.68,3,IF(F18&gt;=33.98,2,IF(F18&gt;=32.28,1,0)))))</f>
        <v/>
      </c>
      <c r="AC68" s="250" t="str">
        <f t="shared" ref="AC68:AC110" si="14">+IF(OR(E18="",B18=""),"",IF(K68&gt;0.82,4,IF(K68&gt;0.77,3,IF(K68&gt;0.72,2,IF(K68&gt;=0.7,1,0)))))</f>
        <v/>
      </c>
      <c r="AD68" s="250">
        <f t="shared" ref="AD68:AD110" si="15">+($D$9+$D$10)/2*$D$8*$H$9*3600</f>
        <v>429624</v>
      </c>
      <c r="AE68" s="250">
        <f t="shared" ref="AE68:AE110" si="16">+IF(AD68&gt;$AE$65,AD68,$AE$65)</f>
        <v>429624</v>
      </c>
      <c r="AF68" s="251">
        <f t="shared" ref="AF68:AF106" si="17">IF($H$9&gt;3.556,D18,IF($H$9&gt;=3.048,C18, IF($H$9&gt;=2.286,B18,IF($H$9&gt;=1.524,B18,B18))))</f>
        <v>0</v>
      </c>
    </row>
    <row r="69" spans="1:32" ht="21.95" customHeight="1" x14ac:dyDescent="0.35">
      <c r="A69" s="93" t="str">
        <f t="shared" si="0"/>
        <v>INSERT FAN NAME AND DATA HERE</v>
      </c>
      <c r="B69" s="211">
        <f t="shared" si="1"/>
        <v>37.5</v>
      </c>
      <c r="C69" s="212">
        <f t="shared" si="2"/>
        <v>0</v>
      </c>
      <c r="D69" s="23" t="e">
        <f t="shared" si="3"/>
        <v>#DIV/0!</v>
      </c>
      <c r="E69" s="308">
        <v>0</v>
      </c>
      <c r="F69" s="24" t="e">
        <f t="shared" si="4"/>
        <v>#DIV/0!</v>
      </c>
      <c r="G69" s="255" t="str">
        <f t="shared" si="5"/>
        <v/>
      </c>
      <c r="H69" s="25" t="str">
        <f t="shared" si="6"/>
        <v/>
      </c>
      <c r="I69" s="68" t="e">
        <f>+IF(F69="","",ROUND((F69/($D$8*($D$9+$D$10)/2)/3600),2))</f>
        <v>#DIV/0!</v>
      </c>
      <c r="J69" s="37" t="e">
        <f t="shared" ref="J69:J110" si="18">IF(I69="","",IF(I69&gt;3.302,0.8676*3.302^2+0.0787*3.302-0.0034,0.8676*I69^2+0.0787*I69-0.0034))</f>
        <v>#DIV/0!</v>
      </c>
      <c r="K69" s="82" t="str">
        <f t="shared" si="7"/>
        <v/>
      </c>
      <c r="L69" s="83" t="str">
        <f t="shared" si="8"/>
        <v/>
      </c>
      <c r="M69" s="84" t="str">
        <f t="shared" si="9"/>
        <v/>
      </c>
      <c r="N69" s="85" t="str">
        <f t="shared" si="10"/>
        <v/>
      </c>
      <c r="O69" s="29" t="e">
        <f t="shared" si="11"/>
        <v>#DIV/0!</v>
      </c>
      <c r="P69" s="32" t="e">
        <f t="shared" ref="P69:P106" si="19">+IF(A69="","",F69*0.00334)</f>
        <v>#DIV/0!</v>
      </c>
      <c r="Q69" s="33" t="e">
        <f t="shared" ref="Q69:Q106" si="20">+IF(A69="","",F69*0.00631)</f>
        <v>#DIV/0!</v>
      </c>
      <c r="R69" s="201" t="str">
        <f t="shared" si="12"/>
        <v/>
      </c>
      <c r="S69" s="213" t="str">
        <f t="shared" ref="S69:S106" si="21">+IF(H69="","",H69*5)</f>
        <v/>
      </c>
      <c r="T69" s="214" t="str">
        <f t="shared" ref="T69:T106" si="22">IF(R69="","",+R69+S69)</f>
        <v/>
      </c>
      <c r="U69" s="215" t="str">
        <f t="shared" ref="U69:U106" si="23">+IF(S69="","",S69*2)</f>
        <v/>
      </c>
      <c r="V69" s="216" t="str">
        <f t="shared" ref="V69:V106" si="24">+IF(R69="","",U69+R69)</f>
        <v/>
      </c>
      <c r="W69" s="206"/>
      <c r="X69" s="207" t="str">
        <f t="shared" ref="X69:X110" si="25">IF(F19="","",RANK($F19,$F$18:$F$60,0))</f>
        <v/>
      </c>
      <c r="Y69" s="208" t="str">
        <f t="shared" ref="Y69:Y110" si="26">IF($K69="","",RANK($K69,$K$68:$K$110,0))</f>
        <v/>
      </c>
      <c r="Z69" s="209" t="str">
        <f t="shared" ref="Z69:Z110" si="27">IF($V69="","",RANK($V69,$V$68:$V$110,1))</f>
        <v/>
      </c>
      <c r="AB69" s="250" t="str">
        <f t="shared" si="13"/>
        <v/>
      </c>
      <c r="AC69" s="250" t="str">
        <f t="shared" si="14"/>
        <v/>
      </c>
      <c r="AD69" s="250">
        <f t="shared" si="15"/>
        <v>429624</v>
      </c>
      <c r="AE69" s="250">
        <f t="shared" si="16"/>
        <v>429624</v>
      </c>
      <c r="AF69" s="251">
        <f t="shared" si="17"/>
        <v>0</v>
      </c>
    </row>
    <row r="70" spans="1:32" ht="21.95" customHeight="1" x14ac:dyDescent="0.35">
      <c r="A70" s="93" t="str">
        <f t="shared" si="0"/>
        <v>INSERT FAN NAME AND DATA HERE</v>
      </c>
      <c r="B70" s="211">
        <f t="shared" si="1"/>
        <v>37.5</v>
      </c>
      <c r="C70" s="212">
        <f t="shared" si="2"/>
        <v>0</v>
      </c>
      <c r="D70" s="23" t="e">
        <f t="shared" si="3"/>
        <v>#DIV/0!</v>
      </c>
      <c r="E70" s="308">
        <v>0</v>
      </c>
      <c r="F70" s="24" t="e">
        <f t="shared" si="4"/>
        <v>#DIV/0!</v>
      </c>
      <c r="G70" s="255" t="str">
        <f t="shared" si="5"/>
        <v/>
      </c>
      <c r="H70" s="25" t="str">
        <f t="shared" si="6"/>
        <v/>
      </c>
      <c r="I70" s="68" t="e">
        <f t="shared" ref="I70:I106" si="28">+IF(F70="","",ROUND((F70/($D$8*($D$9+$D$10)/2)/3600),2))</f>
        <v>#DIV/0!</v>
      </c>
      <c r="J70" s="37" t="e">
        <f t="shared" si="18"/>
        <v>#DIV/0!</v>
      </c>
      <c r="K70" s="82" t="str">
        <f t="shared" si="7"/>
        <v/>
      </c>
      <c r="L70" s="83" t="str">
        <f t="shared" si="8"/>
        <v/>
      </c>
      <c r="M70" s="84" t="str">
        <f t="shared" si="9"/>
        <v/>
      </c>
      <c r="N70" s="85" t="str">
        <f t="shared" si="10"/>
        <v/>
      </c>
      <c r="O70" s="29" t="e">
        <f t="shared" si="11"/>
        <v>#DIV/0!</v>
      </c>
      <c r="P70" s="32" t="e">
        <f t="shared" si="19"/>
        <v>#DIV/0!</v>
      </c>
      <c r="Q70" s="33" t="e">
        <f t="shared" si="20"/>
        <v>#DIV/0!</v>
      </c>
      <c r="R70" s="201" t="str">
        <f t="shared" si="12"/>
        <v/>
      </c>
      <c r="S70" s="213" t="str">
        <f t="shared" si="21"/>
        <v/>
      </c>
      <c r="T70" s="214" t="str">
        <f t="shared" si="22"/>
        <v/>
      </c>
      <c r="U70" s="215" t="str">
        <f t="shared" si="23"/>
        <v/>
      </c>
      <c r="V70" s="216" t="str">
        <f t="shared" si="24"/>
        <v/>
      </c>
      <c r="W70" s="206"/>
      <c r="X70" s="207" t="str">
        <f t="shared" si="25"/>
        <v/>
      </c>
      <c r="Y70" s="208" t="str">
        <f t="shared" si="26"/>
        <v/>
      </c>
      <c r="Z70" s="209" t="str">
        <f t="shared" si="27"/>
        <v/>
      </c>
      <c r="AB70" s="250" t="str">
        <f>+IF(F20="","",IF(F20&gt;=37.38,4,IF(F20&gt;=35.68,3,IF(F20&gt;=33.98,2,IF(F20&gt;=32.28,1,0)))))</f>
        <v/>
      </c>
      <c r="AC70" s="250" t="str">
        <f t="shared" si="14"/>
        <v/>
      </c>
      <c r="AD70" s="250">
        <f t="shared" si="15"/>
        <v>429624</v>
      </c>
      <c r="AE70" s="250">
        <f t="shared" si="16"/>
        <v>429624</v>
      </c>
      <c r="AF70" s="251">
        <f t="shared" si="17"/>
        <v>0</v>
      </c>
    </row>
    <row r="71" spans="1:32" ht="21.95" customHeight="1" x14ac:dyDescent="0.35">
      <c r="A71" s="93" t="str">
        <f t="shared" si="0"/>
        <v>INSERT FAN NAME AND DATA HERE</v>
      </c>
      <c r="B71" s="211">
        <f t="shared" si="1"/>
        <v>37.5</v>
      </c>
      <c r="C71" s="212">
        <f t="shared" si="2"/>
        <v>0</v>
      </c>
      <c r="D71" s="23" t="e">
        <f t="shared" si="3"/>
        <v>#DIV/0!</v>
      </c>
      <c r="E71" s="308">
        <v>0</v>
      </c>
      <c r="F71" s="24" t="e">
        <f t="shared" si="4"/>
        <v>#DIV/0!</v>
      </c>
      <c r="G71" s="255" t="str">
        <f t="shared" si="5"/>
        <v/>
      </c>
      <c r="H71" s="25" t="str">
        <f t="shared" si="6"/>
        <v/>
      </c>
      <c r="I71" s="68" t="e">
        <f t="shared" si="28"/>
        <v>#DIV/0!</v>
      </c>
      <c r="J71" s="37" t="e">
        <f t="shared" si="18"/>
        <v>#DIV/0!</v>
      </c>
      <c r="K71" s="82" t="str">
        <f t="shared" si="7"/>
        <v/>
      </c>
      <c r="L71" s="83" t="str">
        <f t="shared" si="8"/>
        <v/>
      </c>
      <c r="M71" s="84" t="str">
        <f t="shared" si="9"/>
        <v/>
      </c>
      <c r="N71" s="85" t="str">
        <f t="shared" si="10"/>
        <v/>
      </c>
      <c r="O71" s="29" t="e">
        <f t="shared" si="11"/>
        <v>#DIV/0!</v>
      </c>
      <c r="P71" s="32" t="e">
        <f t="shared" si="19"/>
        <v>#DIV/0!</v>
      </c>
      <c r="Q71" s="33" t="e">
        <f t="shared" si="20"/>
        <v>#DIV/0!</v>
      </c>
      <c r="R71" s="201" t="str">
        <f t="shared" si="12"/>
        <v/>
      </c>
      <c r="S71" s="213" t="str">
        <f t="shared" si="21"/>
        <v/>
      </c>
      <c r="T71" s="214" t="str">
        <f t="shared" si="22"/>
        <v/>
      </c>
      <c r="U71" s="215" t="str">
        <f t="shared" si="23"/>
        <v/>
      </c>
      <c r="V71" s="216" t="str">
        <f t="shared" si="24"/>
        <v/>
      </c>
      <c r="W71" s="206"/>
      <c r="X71" s="207" t="str">
        <f t="shared" si="25"/>
        <v/>
      </c>
      <c r="Y71" s="208" t="str">
        <f t="shared" si="26"/>
        <v/>
      </c>
      <c r="Z71" s="209" t="str">
        <f t="shared" si="27"/>
        <v/>
      </c>
      <c r="AB71" s="250" t="str">
        <f t="shared" si="13"/>
        <v/>
      </c>
      <c r="AC71" s="250" t="str">
        <f t="shared" si="14"/>
        <v/>
      </c>
      <c r="AD71" s="250">
        <f t="shared" si="15"/>
        <v>429624</v>
      </c>
      <c r="AE71" s="250">
        <f t="shared" si="16"/>
        <v>429624</v>
      </c>
      <c r="AF71" s="251">
        <f t="shared" si="17"/>
        <v>0</v>
      </c>
    </row>
    <row r="72" spans="1:32" ht="23.25" x14ac:dyDescent="0.35">
      <c r="A72" s="93" t="str">
        <f t="shared" si="0"/>
        <v>INSERT FAN NAME AND DATA HERE</v>
      </c>
      <c r="B72" s="211">
        <f t="shared" si="1"/>
        <v>37.5</v>
      </c>
      <c r="C72" s="212">
        <f t="shared" si="2"/>
        <v>0</v>
      </c>
      <c r="D72" s="23" t="e">
        <f t="shared" si="3"/>
        <v>#DIV/0!</v>
      </c>
      <c r="E72" s="308">
        <v>0</v>
      </c>
      <c r="F72" s="24" t="e">
        <f t="shared" si="4"/>
        <v>#DIV/0!</v>
      </c>
      <c r="G72" s="255" t="str">
        <f t="shared" si="5"/>
        <v/>
      </c>
      <c r="H72" s="25" t="str">
        <f t="shared" si="6"/>
        <v/>
      </c>
      <c r="I72" s="68" t="e">
        <f t="shared" si="28"/>
        <v>#DIV/0!</v>
      </c>
      <c r="J72" s="37" t="e">
        <f t="shared" si="18"/>
        <v>#DIV/0!</v>
      </c>
      <c r="K72" s="82" t="str">
        <f t="shared" si="7"/>
        <v/>
      </c>
      <c r="L72" s="83" t="str">
        <f t="shared" si="8"/>
        <v/>
      </c>
      <c r="M72" s="84" t="str">
        <f t="shared" si="9"/>
        <v/>
      </c>
      <c r="N72" s="85" t="str">
        <f t="shared" si="10"/>
        <v/>
      </c>
      <c r="O72" s="29" t="e">
        <f t="shared" si="11"/>
        <v>#DIV/0!</v>
      </c>
      <c r="P72" s="32" t="e">
        <f t="shared" si="19"/>
        <v>#DIV/0!</v>
      </c>
      <c r="Q72" s="33" t="e">
        <f t="shared" si="20"/>
        <v>#DIV/0!</v>
      </c>
      <c r="R72" s="201" t="str">
        <f t="shared" si="12"/>
        <v/>
      </c>
      <c r="S72" s="213" t="str">
        <f t="shared" si="21"/>
        <v/>
      </c>
      <c r="T72" s="214" t="str">
        <f t="shared" si="22"/>
        <v/>
      </c>
      <c r="U72" s="215" t="str">
        <f t="shared" si="23"/>
        <v/>
      </c>
      <c r="V72" s="216" t="str">
        <f t="shared" si="24"/>
        <v/>
      </c>
      <c r="W72" s="206"/>
      <c r="X72" s="207" t="str">
        <f t="shared" si="25"/>
        <v/>
      </c>
      <c r="Y72" s="208" t="str">
        <f t="shared" si="26"/>
        <v/>
      </c>
      <c r="Z72" s="209" t="str">
        <f t="shared" si="27"/>
        <v/>
      </c>
      <c r="AB72" s="250" t="str">
        <f t="shared" si="13"/>
        <v/>
      </c>
      <c r="AC72" s="250" t="str">
        <f t="shared" si="14"/>
        <v/>
      </c>
      <c r="AD72" s="250">
        <f t="shared" si="15"/>
        <v>429624</v>
      </c>
      <c r="AE72" s="250">
        <f t="shared" si="16"/>
        <v>429624</v>
      </c>
      <c r="AF72" s="251">
        <f t="shared" si="17"/>
        <v>0</v>
      </c>
    </row>
    <row r="73" spans="1:32" ht="23.25" x14ac:dyDescent="0.35">
      <c r="A73" s="93" t="str">
        <f t="shared" si="0"/>
        <v>Hired Hand 6603-7403 52" (60Hz) CONE 1hp</v>
      </c>
      <c r="B73" s="211">
        <f t="shared" si="1"/>
        <v>37.5</v>
      </c>
      <c r="C73" s="212">
        <f t="shared" si="2"/>
        <v>40946</v>
      </c>
      <c r="D73" s="23">
        <f t="shared" si="3"/>
        <v>11</v>
      </c>
      <c r="E73" s="308">
        <v>0</v>
      </c>
      <c r="F73" s="24">
        <f t="shared" si="4"/>
        <v>450400</v>
      </c>
      <c r="G73" s="255">
        <f>+IF(F23="","",IF(E73&gt;0,ROUND((E73*(($C23)/(($F23)))/1000),1),ROUND((D73*(($C23)/(($F23)))/1000),1)))</f>
        <v>13.7</v>
      </c>
      <c r="H73" s="25">
        <f t="shared" si="6"/>
        <v>4120</v>
      </c>
      <c r="I73" s="68">
        <f t="shared" si="28"/>
        <v>3.15</v>
      </c>
      <c r="J73" s="37">
        <f t="shared" si="18"/>
        <v>8.8532659999999996</v>
      </c>
      <c r="K73" s="82">
        <f t="shared" si="7"/>
        <v>0.81</v>
      </c>
      <c r="L73" s="83" t="str">
        <f t="shared" si="8"/>
        <v>EXCELLENT</v>
      </c>
      <c r="M73" s="84">
        <f t="shared" si="9"/>
        <v>35</v>
      </c>
      <c r="N73" s="85" t="str">
        <f t="shared" si="10"/>
        <v>GOOD</v>
      </c>
      <c r="O73" s="29">
        <f t="shared" si="11"/>
        <v>74.669437153689117</v>
      </c>
      <c r="P73" s="32">
        <f t="shared" si="19"/>
        <v>1504.336</v>
      </c>
      <c r="Q73" s="33">
        <f t="shared" si="20"/>
        <v>2842.0239999999999</v>
      </c>
      <c r="R73" s="201">
        <f t="shared" si="12"/>
        <v>12463</v>
      </c>
      <c r="S73" s="213">
        <f t="shared" si="21"/>
        <v>20600</v>
      </c>
      <c r="T73" s="214">
        <f t="shared" si="22"/>
        <v>33063</v>
      </c>
      <c r="U73" s="215">
        <f t="shared" si="23"/>
        <v>41200</v>
      </c>
      <c r="V73" s="216">
        <f t="shared" si="24"/>
        <v>53663</v>
      </c>
      <c r="W73" s="206"/>
      <c r="X73" s="207">
        <f t="shared" si="25"/>
        <v>4</v>
      </c>
      <c r="Y73" s="208">
        <f t="shared" si="26"/>
        <v>6</v>
      </c>
      <c r="Z73" s="209">
        <f t="shared" si="27"/>
        <v>2</v>
      </c>
      <c r="AB73" s="250">
        <f t="shared" si="13"/>
        <v>2</v>
      </c>
      <c r="AC73" s="250">
        <f t="shared" si="14"/>
        <v>3</v>
      </c>
      <c r="AD73" s="250">
        <f t="shared" si="15"/>
        <v>429624</v>
      </c>
      <c r="AE73" s="250">
        <f t="shared" si="16"/>
        <v>429624</v>
      </c>
      <c r="AF73" s="251">
        <f t="shared" si="17"/>
        <v>46553</v>
      </c>
    </row>
    <row r="74" spans="1:32" ht="23.25" x14ac:dyDescent="0.35">
      <c r="A74" s="93" t="str">
        <f t="shared" si="0"/>
        <v>Hired Hand 6603-6527 52.5" - Butterfly damper (60Hz) CONE 1hp</v>
      </c>
      <c r="B74" s="211">
        <f t="shared" si="1"/>
        <v>37.5</v>
      </c>
      <c r="C74" s="212">
        <f t="shared" si="2"/>
        <v>39925</v>
      </c>
      <c r="D74" s="23">
        <f t="shared" si="3"/>
        <v>11</v>
      </c>
      <c r="E74" s="308">
        <v>0</v>
      </c>
      <c r="F74" s="24">
        <f t="shared" si="4"/>
        <v>439200</v>
      </c>
      <c r="G74" s="255">
        <f t="shared" ref="G74:G110" si="29">+IF(F24="","",IF(E74&gt;0,ROUND((E74*(($C24)/(($F24)))/1000),1),ROUND((D74*(($C24)/(($F24)))/1000),1)))</f>
        <v>14.6</v>
      </c>
      <c r="H74" s="25">
        <f t="shared" si="6"/>
        <v>4390</v>
      </c>
      <c r="I74" s="68">
        <f t="shared" si="28"/>
        <v>3.07</v>
      </c>
      <c r="J74" s="37">
        <f t="shared" si="18"/>
        <v>8.4152522400000009</v>
      </c>
      <c r="K74" s="82">
        <f t="shared" si="7"/>
        <v>0.77</v>
      </c>
      <c r="L74" s="83" t="str">
        <f t="shared" si="8"/>
        <v>GOOD</v>
      </c>
      <c r="M74" s="84">
        <f t="shared" si="9"/>
        <v>32.799999999999997</v>
      </c>
      <c r="N74" s="85" t="str">
        <f t="shared" si="10"/>
        <v>MIN ACCEPTABLE</v>
      </c>
      <c r="O74" s="29">
        <f t="shared" si="11"/>
        <v>74.937299504228633</v>
      </c>
      <c r="P74" s="32">
        <f t="shared" si="19"/>
        <v>1466.9280000000001</v>
      </c>
      <c r="Q74" s="33">
        <f t="shared" si="20"/>
        <v>2771.3519999999999</v>
      </c>
      <c r="R74" s="201">
        <f t="shared" si="12"/>
        <v>13181.519999999999</v>
      </c>
      <c r="S74" s="213">
        <f t="shared" si="21"/>
        <v>21950</v>
      </c>
      <c r="T74" s="214">
        <f t="shared" si="22"/>
        <v>35131.519999999997</v>
      </c>
      <c r="U74" s="215">
        <f t="shared" si="23"/>
        <v>43900</v>
      </c>
      <c r="V74" s="216">
        <f t="shared" si="24"/>
        <v>57081.52</v>
      </c>
      <c r="W74" s="206"/>
      <c r="X74" s="207">
        <f t="shared" si="25"/>
        <v>10</v>
      </c>
      <c r="Y74" s="208">
        <f t="shared" si="26"/>
        <v>9</v>
      </c>
      <c r="Z74" s="209">
        <f t="shared" si="27"/>
        <v>4</v>
      </c>
      <c r="AB74" s="250">
        <f t="shared" si="13"/>
        <v>1</v>
      </c>
      <c r="AC74" s="250">
        <f t="shared" si="14"/>
        <v>2</v>
      </c>
      <c r="AD74" s="250">
        <f t="shared" si="15"/>
        <v>429624</v>
      </c>
      <c r="AE74" s="250">
        <f t="shared" si="16"/>
        <v>429624</v>
      </c>
      <c r="AF74" s="251">
        <f t="shared" si="17"/>
        <v>46720</v>
      </c>
    </row>
    <row r="75" spans="1:32" ht="23.25" x14ac:dyDescent="0.35">
      <c r="A75" s="93" t="str">
        <f t="shared" si="0"/>
        <v>Hired Hand 6603-3000 52.5" - CONE 1.5hp</v>
      </c>
      <c r="B75" s="211">
        <f t="shared" si="1"/>
        <v>37.5</v>
      </c>
      <c r="C75" s="212">
        <f t="shared" si="2"/>
        <v>37038</v>
      </c>
      <c r="D75" s="23">
        <f t="shared" si="3"/>
        <v>12</v>
      </c>
      <c r="E75" s="308">
        <v>0</v>
      </c>
      <c r="F75" s="24">
        <f t="shared" si="4"/>
        <v>444500</v>
      </c>
      <c r="G75" s="255">
        <f t="shared" si="29"/>
        <v>14.8</v>
      </c>
      <c r="H75" s="25">
        <f t="shared" si="6"/>
        <v>4440</v>
      </c>
      <c r="I75" s="68">
        <f t="shared" si="28"/>
        <v>3.1</v>
      </c>
      <c r="J75" s="37">
        <f t="shared" si="18"/>
        <v>8.5782060000000016</v>
      </c>
      <c r="K75" s="82">
        <f t="shared" si="7"/>
        <v>0.75</v>
      </c>
      <c r="L75" s="83" t="str">
        <f t="shared" si="8"/>
        <v>GOOD</v>
      </c>
      <c r="M75" s="84">
        <f t="shared" si="9"/>
        <v>32.96</v>
      </c>
      <c r="N75" s="85" t="str">
        <f t="shared" si="10"/>
        <v>MIN ACCEPTABLE</v>
      </c>
      <c r="O75" s="29">
        <f t="shared" si="11"/>
        <v>76.40419947506561</v>
      </c>
      <c r="P75" s="32">
        <f t="shared" si="19"/>
        <v>1484.63</v>
      </c>
      <c r="Q75" s="33">
        <f t="shared" si="20"/>
        <v>2804.7949999999996</v>
      </c>
      <c r="R75" s="201">
        <f t="shared" si="12"/>
        <v>18505.080000000002</v>
      </c>
      <c r="S75" s="213">
        <f t="shared" si="21"/>
        <v>22200</v>
      </c>
      <c r="T75" s="214">
        <f t="shared" si="22"/>
        <v>40705.08</v>
      </c>
      <c r="U75" s="215">
        <f t="shared" si="23"/>
        <v>44400</v>
      </c>
      <c r="V75" s="216">
        <f t="shared" si="24"/>
        <v>62905.08</v>
      </c>
      <c r="W75" s="206"/>
      <c r="X75" s="207">
        <f t="shared" si="25"/>
        <v>9</v>
      </c>
      <c r="Y75" s="208">
        <f t="shared" si="26"/>
        <v>13</v>
      </c>
      <c r="Z75" s="209">
        <f t="shared" si="27"/>
        <v>9</v>
      </c>
      <c r="AB75" s="250">
        <f t="shared" si="13"/>
        <v>1</v>
      </c>
      <c r="AC75" s="250">
        <f t="shared" si="14"/>
        <v>2</v>
      </c>
      <c r="AD75" s="250">
        <f t="shared" si="15"/>
        <v>429624</v>
      </c>
      <c r="AE75" s="250">
        <f t="shared" si="16"/>
        <v>429624</v>
      </c>
      <c r="AF75" s="251">
        <f t="shared" si="17"/>
        <v>43665</v>
      </c>
    </row>
    <row r="76" spans="1:32" ht="23.25" x14ac:dyDescent="0.35">
      <c r="A76" s="93" t="str">
        <f t="shared" si="0"/>
        <v>Hired Hand 6603-8010 54" - CONE 1.5hp</v>
      </c>
      <c r="B76" s="211">
        <f t="shared" si="1"/>
        <v>37.5</v>
      </c>
      <c r="C76" s="212">
        <f t="shared" si="2"/>
        <v>39417</v>
      </c>
      <c r="D76" s="23">
        <f t="shared" si="3"/>
        <v>11</v>
      </c>
      <c r="E76" s="308">
        <v>0</v>
      </c>
      <c r="F76" s="24">
        <f t="shared" si="4"/>
        <v>433600</v>
      </c>
      <c r="G76" s="255">
        <f t="shared" si="29"/>
        <v>11.4</v>
      </c>
      <c r="H76" s="25">
        <f t="shared" si="6"/>
        <v>3420</v>
      </c>
      <c r="I76" s="68">
        <f t="shared" si="28"/>
        <v>3.03</v>
      </c>
      <c r="J76" s="37">
        <f t="shared" si="18"/>
        <v>8.2004098400000007</v>
      </c>
      <c r="K76" s="82">
        <f t="shared" si="7"/>
        <v>0.78</v>
      </c>
      <c r="L76" s="83" t="str">
        <f t="shared" si="8"/>
        <v>EXCELLENT</v>
      </c>
      <c r="M76" s="84">
        <f t="shared" si="9"/>
        <v>41.14</v>
      </c>
      <c r="N76" s="85" t="str">
        <f t="shared" si="10"/>
        <v>OUTSTANDING</v>
      </c>
      <c r="O76" s="29">
        <f t="shared" si="11"/>
        <v>72.760717410323707</v>
      </c>
      <c r="P76" s="32">
        <f t="shared" si="19"/>
        <v>1448.2239999999999</v>
      </c>
      <c r="Q76" s="33">
        <f t="shared" si="20"/>
        <v>2736.0159999999996</v>
      </c>
      <c r="R76" s="201">
        <f t="shared" si="12"/>
        <v>16104</v>
      </c>
      <c r="S76" s="213">
        <f t="shared" si="21"/>
        <v>17100</v>
      </c>
      <c r="T76" s="214">
        <f t="shared" si="22"/>
        <v>33204</v>
      </c>
      <c r="U76" s="215">
        <f t="shared" si="23"/>
        <v>34200</v>
      </c>
      <c r="V76" s="216">
        <f t="shared" si="24"/>
        <v>50304</v>
      </c>
      <c r="W76" s="206"/>
      <c r="X76" s="207">
        <f t="shared" si="25"/>
        <v>2</v>
      </c>
      <c r="Y76" s="208">
        <f t="shared" si="26"/>
        <v>7</v>
      </c>
      <c r="Z76" s="209">
        <f t="shared" si="27"/>
        <v>1</v>
      </c>
      <c r="AB76" s="250">
        <f t="shared" si="13"/>
        <v>4</v>
      </c>
      <c r="AC76" s="250">
        <f t="shared" si="14"/>
        <v>3</v>
      </c>
      <c r="AD76" s="250">
        <f t="shared" si="15"/>
        <v>429624</v>
      </c>
      <c r="AE76" s="250">
        <f t="shared" si="16"/>
        <v>429624</v>
      </c>
      <c r="AF76" s="251">
        <f t="shared" si="17"/>
        <v>45363</v>
      </c>
    </row>
    <row r="77" spans="1:32" ht="23.25" x14ac:dyDescent="0.35">
      <c r="A77" s="93" t="str">
        <f t="shared" si="0"/>
        <v>Munters Euroemme EM50 - 1hp</v>
      </c>
      <c r="B77" s="211">
        <f t="shared" si="1"/>
        <v>37.5</v>
      </c>
      <c r="C77" s="212">
        <f t="shared" si="2"/>
        <v>27713</v>
      </c>
      <c r="D77" s="23">
        <f t="shared" si="3"/>
        <v>16</v>
      </c>
      <c r="E77" s="308">
        <v>0</v>
      </c>
      <c r="F77" s="24">
        <f t="shared" si="4"/>
        <v>443400</v>
      </c>
      <c r="G77" s="255">
        <f t="shared" si="29"/>
        <v>18.600000000000001</v>
      </c>
      <c r="H77" s="25">
        <f t="shared" si="6"/>
        <v>5580</v>
      </c>
      <c r="I77" s="68">
        <f t="shared" si="28"/>
        <v>3.1</v>
      </c>
      <c r="J77" s="37">
        <f t="shared" si="18"/>
        <v>8.5782060000000016</v>
      </c>
      <c r="K77" s="82">
        <f t="shared" si="7"/>
        <v>0.74</v>
      </c>
      <c r="L77" s="83" t="str">
        <f t="shared" si="8"/>
        <v>GOOD</v>
      </c>
      <c r="M77" s="84">
        <f t="shared" si="9"/>
        <v>26.5</v>
      </c>
      <c r="N77" s="85" t="str">
        <f t="shared" si="10"/>
        <v>POOR</v>
      </c>
      <c r="O77" s="29">
        <f t="shared" si="11"/>
        <v>76.939049285505973</v>
      </c>
      <c r="P77" s="32">
        <f t="shared" si="19"/>
        <v>1480.9560000000001</v>
      </c>
      <c r="Q77" s="33">
        <f t="shared" si="20"/>
        <v>2797.8539999999998</v>
      </c>
      <c r="R77" s="201">
        <f t="shared" si="12"/>
        <v>14528</v>
      </c>
      <c r="S77" s="213">
        <f t="shared" si="21"/>
        <v>27900</v>
      </c>
      <c r="T77" s="214">
        <f t="shared" si="22"/>
        <v>42428</v>
      </c>
      <c r="U77" s="215">
        <f t="shared" si="23"/>
        <v>55800</v>
      </c>
      <c r="V77" s="216">
        <f t="shared" si="24"/>
        <v>70328</v>
      </c>
      <c r="W77" s="206"/>
      <c r="X77" s="207">
        <f t="shared" si="25"/>
        <v>21</v>
      </c>
      <c r="Y77" s="208">
        <f t="shared" si="26"/>
        <v>15</v>
      </c>
      <c r="Z77" s="209">
        <f t="shared" si="27"/>
        <v>18</v>
      </c>
      <c r="AB77" s="250">
        <f t="shared" si="13"/>
        <v>0</v>
      </c>
      <c r="AC77" s="250">
        <f t="shared" si="14"/>
        <v>2</v>
      </c>
      <c r="AD77" s="250">
        <f t="shared" si="15"/>
        <v>429624</v>
      </c>
      <c r="AE77" s="250">
        <f t="shared" si="16"/>
        <v>429624</v>
      </c>
      <c r="AF77" s="251">
        <f t="shared" si="17"/>
        <v>32978</v>
      </c>
    </row>
    <row r="78" spans="1:32" ht="23.25" x14ac:dyDescent="0.35">
      <c r="A78" s="93" t="str">
        <f t="shared" si="0"/>
        <v>Munters Euroemme EM50 - 1.5hp</v>
      </c>
      <c r="B78" s="211">
        <f t="shared" si="1"/>
        <v>37.5</v>
      </c>
      <c r="C78" s="212">
        <f t="shared" si="2"/>
        <v>36028</v>
      </c>
      <c r="D78" s="23">
        <f t="shared" si="3"/>
        <v>12</v>
      </c>
      <c r="E78" s="308">
        <v>0</v>
      </c>
      <c r="F78" s="24">
        <f t="shared" si="4"/>
        <v>432300</v>
      </c>
      <c r="G78" s="255">
        <f t="shared" si="29"/>
        <v>21.1</v>
      </c>
      <c r="H78" s="25">
        <f t="shared" si="6"/>
        <v>6330</v>
      </c>
      <c r="I78" s="68">
        <f t="shared" si="28"/>
        <v>3.02</v>
      </c>
      <c r="J78" s="37">
        <f t="shared" si="18"/>
        <v>8.1471330400000017</v>
      </c>
      <c r="K78" s="82">
        <f t="shared" si="7"/>
        <v>0.84</v>
      </c>
      <c r="L78" s="83" t="str">
        <f t="shared" si="8"/>
        <v>OUTSTANDING</v>
      </c>
      <c r="M78" s="84">
        <f t="shared" si="9"/>
        <v>21.76</v>
      </c>
      <c r="N78" s="85" t="str">
        <f t="shared" si="10"/>
        <v>POOR</v>
      </c>
      <c r="O78" s="29">
        <f t="shared" si="11"/>
        <v>70.064741907261592</v>
      </c>
      <c r="P78" s="32">
        <f t="shared" si="19"/>
        <v>1443.8820000000001</v>
      </c>
      <c r="Q78" s="33">
        <f t="shared" si="20"/>
        <v>2727.8129999999996</v>
      </c>
      <c r="R78" s="201">
        <f t="shared" si="12"/>
        <v>11175</v>
      </c>
      <c r="S78" s="213">
        <f t="shared" si="21"/>
        <v>31650</v>
      </c>
      <c r="T78" s="214">
        <f t="shared" si="22"/>
        <v>42825</v>
      </c>
      <c r="U78" s="215">
        <f t="shared" si="23"/>
        <v>63300</v>
      </c>
      <c r="V78" s="216">
        <f t="shared" si="24"/>
        <v>74475</v>
      </c>
      <c r="W78" s="206"/>
      <c r="X78" s="207">
        <f t="shared" si="25"/>
        <v>24</v>
      </c>
      <c r="Y78" s="208">
        <f t="shared" si="26"/>
        <v>3</v>
      </c>
      <c r="Z78" s="209">
        <f t="shared" si="27"/>
        <v>24</v>
      </c>
      <c r="AB78" s="250">
        <f t="shared" si="13"/>
        <v>0</v>
      </c>
      <c r="AC78" s="250">
        <f t="shared" si="14"/>
        <v>4</v>
      </c>
      <c r="AD78" s="250">
        <f t="shared" si="15"/>
        <v>429624</v>
      </c>
      <c r="AE78" s="250">
        <f t="shared" si="16"/>
        <v>429624</v>
      </c>
      <c r="AF78" s="251">
        <f t="shared" si="17"/>
        <v>40042</v>
      </c>
    </row>
    <row r="79" spans="1:32" ht="23.25" x14ac:dyDescent="0.35">
      <c r="A79" s="93" t="str">
        <f t="shared" si="0"/>
        <v>Munters Euroemme  EC-50 (60Hz, 1 phase) CONE 1hp</v>
      </c>
      <c r="B79" s="211">
        <f t="shared" si="1"/>
        <v>37.5</v>
      </c>
      <c r="C79" s="212">
        <f t="shared" si="2"/>
        <v>32640</v>
      </c>
      <c r="D79" s="23">
        <f t="shared" si="3"/>
        <v>14</v>
      </c>
      <c r="E79" s="308">
        <v>0</v>
      </c>
      <c r="F79" s="24">
        <f t="shared" si="4"/>
        <v>457000</v>
      </c>
      <c r="G79" s="255">
        <f t="shared" si="29"/>
        <v>14.9</v>
      </c>
      <c r="H79" s="25">
        <f t="shared" si="6"/>
        <v>4480</v>
      </c>
      <c r="I79" s="68">
        <f t="shared" si="28"/>
        <v>3.19</v>
      </c>
      <c r="J79" s="37">
        <f t="shared" si="18"/>
        <v>9.0764373600000017</v>
      </c>
      <c r="K79" s="82">
        <f t="shared" si="7"/>
        <v>0.74</v>
      </c>
      <c r="L79" s="83" t="str">
        <f t="shared" si="8"/>
        <v>GOOD</v>
      </c>
      <c r="M79" s="84">
        <f t="shared" si="9"/>
        <v>33.659999999999997</v>
      </c>
      <c r="N79" s="85" t="str">
        <f t="shared" si="10"/>
        <v>MIN ACCEPTABLE</v>
      </c>
      <c r="O79" s="29">
        <f t="shared" si="11"/>
        <v>78.778069407990671</v>
      </c>
      <c r="P79" s="32">
        <f t="shared" si="19"/>
        <v>1526.38</v>
      </c>
      <c r="Q79" s="33">
        <f t="shared" si="20"/>
        <v>2883.6699999999996</v>
      </c>
      <c r="R79" s="201">
        <f t="shared" si="12"/>
        <v>15414</v>
      </c>
      <c r="S79" s="213">
        <f t="shared" si="21"/>
        <v>22400</v>
      </c>
      <c r="T79" s="214">
        <f t="shared" si="22"/>
        <v>37814</v>
      </c>
      <c r="U79" s="215">
        <f t="shared" si="23"/>
        <v>44800</v>
      </c>
      <c r="V79" s="216">
        <f t="shared" si="24"/>
        <v>60214</v>
      </c>
      <c r="W79" s="206"/>
      <c r="X79" s="207">
        <f t="shared" si="25"/>
        <v>7</v>
      </c>
      <c r="Y79" s="208">
        <f t="shared" si="26"/>
        <v>15</v>
      </c>
      <c r="Z79" s="209">
        <f t="shared" si="27"/>
        <v>7</v>
      </c>
      <c r="AB79" s="250">
        <f t="shared" si="13"/>
        <v>1</v>
      </c>
      <c r="AC79" s="250">
        <f t="shared" si="14"/>
        <v>2</v>
      </c>
      <c r="AD79" s="250">
        <f t="shared" si="15"/>
        <v>429624</v>
      </c>
      <c r="AE79" s="250">
        <f t="shared" si="16"/>
        <v>429624</v>
      </c>
      <c r="AF79" s="251">
        <f t="shared" si="17"/>
        <v>38590</v>
      </c>
    </row>
    <row r="80" spans="1:32" ht="23.25" x14ac:dyDescent="0.35">
      <c r="A80" s="93" t="str">
        <f t="shared" si="0"/>
        <v>Munters Euroemme  EC-50 CONE 1.5hp</v>
      </c>
      <c r="B80" s="211">
        <f t="shared" si="1"/>
        <v>37.5</v>
      </c>
      <c r="C80" s="212">
        <f t="shared" si="2"/>
        <v>40450.726029558697</v>
      </c>
      <c r="D80" s="23">
        <f t="shared" si="3"/>
        <v>11</v>
      </c>
      <c r="E80" s="308">
        <v>0</v>
      </c>
      <c r="F80" s="24">
        <f t="shared" si="4"/>
        <v>445000</v>
      </c>
      <c r="G80" s="255">
        <f t="shared" si="29"/>
        <v>17.5</v>
      </c>
      <c r="H80" s="25">
        <f t="shared" si="6"/>
        <v>5250</v>
      </c>
      <c r="I80" s="68">
        <f t="shared" si="28"/>
        <v>3.11</v>
      </c>
      <c r="J80" s="37">
        <f t="shared" si="18"/>
        <v>8.63287096</v>
      </c>
      <c r="K80" s="82">
        <f t="shared" si="7"/>
        <v>0.86</v>
      </c>
      <c r="L80" s="83" t="str">
        <f t="shared" si="8"/>
        <v>OUTSTANDING</v>
      </c>
      <c r="M80" s="84">
        <f t="shared" si="9"/>
        <v>26.732313234725201</v>
      </c>
      <c r="N80" s="85" t="str">
        <f t="shared" si="10"/>
        <v>POOR</v>
      </c>
      <c r="O80" s="29">
        <f t="shared" si="11"/>
        <v>71.218364401339343</v>
      </c>
      <c r="P80" s="32">
        <f t="shared" si="19"/>
        <v>1486.3</v>
      </c>
      <c r="Q80" s="33">
        <f t="shared" si="20"/>
        <v>2807.95</v>
      </c>
      <c r="R80" s="201">
        <f t="shared" si="12"/>
        <v>12331</v>
      </c>
      <c r="S80" s="213">
        <f t="shared" si="21"/>
        <v>26250</v>
      </c>
      <c r="T80" s="214">
        <f t="shared" si="22"/>
        <v>38581</v>
      </c>
      <c r="U80" s="215">
        <f t="shared" si="23"/>
        <v>52500</v>
      </c>
      <c r="V80" s="216">
        <f t="shared" si="24"/>
        <v>64831</v>
      </c>
      <c r="W80" s="206"/>
      <c r="X80" s="207">
        <f t="shared" si="25"/>
        <v>20</v>
      </c>
      <c r="Y80" s="208">
        <f t="shared" si="26"/>
        <v>1</v>
      </c>
      <c r="Z80" s="209">
        <f t="shared" si="27"/>
        <v>11</v>
      </c>
      <c r="AB80" s="250">
        <f t="shared" si="13"/>
        <v>0</v>
      </c>
      <c r="AC80" s="250">
        <f t="shared" si="14"/>
        <v>4</v>
      </c>
      <c r="AD80" s="250">
        <f t="shared" si="15"/>
        <v>429624</v>
      </c>
      <c r="AE80" s="250">
        <f t="shared" si="16"/>
        <v>429624</v>
      </c>
      <c r="AF80" s="251">
        <f t="shared" si="17"/>
        <v>44401.413005853203</v>
      </c>
    </row>
    <row r="81" spans="1:32" ht="23.25" x14ac:dyDescent="0.35">
      <c r="A81" s="93" t="str">
        <f t="shared" si="0"/>
        <v>Munters WF541V3CD-50 – Butterfly damper, 54" (1hp, CONE)</v>
      </c>
      <c r="B81" s="211">
        <f t="shared" si="1"/>
        <v>37.5</v>
      </c>
      <c r="C81" s="212">
        <f t="shared" si="2"/>
        <v>36900</v>
      </c>
      <c r="D81" s="23">
        <f t="shared" si="3"/>
        <v>12</v>
      </c>
      <c r="E81" s="308">
        <v>0</v>
      </c>
      <c r="F81" s="24">
        <f t="shared" si="4"/>
        <v>442800</v>
      </c>
      <c r="G81" s="255">
        <f t="shared" si="29"/>
        <v>13.4</v>
      </c>
      <c r="H81" s="25">
        <f t="shared" si="6"/>
        <v>4020</v>
      </c>
      <c r="I81" s="68">
        <f t="shared" si="28"/>
        <v>3.09</v>
      </c>
      <c r="J81" s="37">
        <f t="shared" si="18"/>
        <v>8.5237145600000019</v>
      </c>
      <c r="K81" s="82">
        <f t="shared" si="7"/>
        <v>0.74</v>
      </c>
      <c r="L81" s="83" t="str">
        <f t="shared" si="8"/>
        <v>GOOD</v>
      </c>
      <c r="M81" s="84">
        <f t="shared" si="9"/>
        <v>36.5</v>
      </c>
      <c r="N81" s="85" t="str">
        <f t="shared" si="10"/>
        <v>EXCELLENT</v>
      </c>
      <c r="O81" s="29">
        <f t="shared" si="11"/>
        <v>77.515310586176724</v>
      </c>
      <c r="P81" s="32">
        <f t="shared" si="19"/>
        <v>1478.952</v>
      </c>
      <c r="Q81" s="33">
        <f t="shared" si="20"/>
        <v>2794.0679999999998</v>
      </c>
      <c r="R81" s="201">
        <f t="shared" si="12"/>
        <v>18600</v>
      </c>
      <c r="S81" s="213">
        <f t="shared" si="21"/>
        <v>20100</v>
      </c>
      <c r="T81" s="214">
        <f t="shared" si="22"/>
        <v>38700</v>
      </c>
      <c r="U81" s="215">
        <f t="shared" si="23"/>
        <v>40200</v>
      </c>
      <c r="V81" s="216">
        <f t="shared" si="24"/>
        <v>58800</v>
      </c>
      <c r="W81" s="206"/>
      <c r="X81" s="207">
        <f t="shared" si="25"/>
        <v>3</v>
      </c>
      <c r="Y81" s="208">
        <f t="shared" si="26"/>
        <v>15</v>
      </c>
      <c r="Z81" s="209">
        <f t="shared" si="27"/>
        <v>6</v>
      </c>
      <c r="AB81" s="250">
        <f t="shared" si="13"/>
        <v>3</v>
      </c>
      <c r="AC81" s="250">
        <f t="shared" si="14"/>
        <v>2</v>
      </c>
      <c r="AD81" s="250">
        <f t="shared" si="15"/>
        <v>429624</v>
      </c>
      <c r="AE81" s="250">
        <f t="shared" si="16"/>
        <v>429624</v>
      </c>
      <c r="AF81" s="251">
        <f t="shared" si="17"/>
        <v>44300</v>
      </c>
    </row>
    <row r="82" spans="1:32" ht="23.25" x14ac:dyDescent="0.35">
      <c r="A82" s="93" t="str">
        <f t="shared" si="0"/>
        <v>Munters WF501V3CD-50 – Butterfly damper, 50" (1hp, CONE)</v>
      </c>
      <c r="B82" s="211">
        <f t="shared" si="1"/>
        <v>37.5</v>
      </c>
      <c r="C82" s="212">
        <f t="shared" si="2"/>
        <v>30300</v>
      </c>
      <c r="D82" s="23">
        <f t="shared" si="3"/>
        <v>15</v>
      </c>
      <c r="E82" s="308">
        <v>0</v>
      </c>
      <c r="F82" s="24">
        <f t="shared" si="4"/>
        <v>454500</v>
      </c>
      <c r="G82" s="255">
        <f t="shared" si="29"/>
        <v>17.3</v>
      </c>
      <c r="H82" s="25">
        <f t="shared" si="6"/>
        <v>5190</v>
      </c>
      <c r="I82" s="68">
        <f t="shared" si="28"/>
        <v>3.17</v>
      </c>
      <c r="J82" s="37">
        <f t="shared" si="18"/>
        <v>8.9645046400000012</v>
      </c>
      <c r="K82" s="82">
        <f t="shared" si="7"/>
        <v>0.64</v>
      </c>
      <c r="L82" s="83" t="str">
        <f t="shared" si="8"/>
        <v>POOR</v>
      </c>
      <c r="M82" s="84">
        <f t="shared" si="9"/>
        <v>31.9</v>
      </c>
      <c r="N82" s="85" t="str">
        <f t="shared" si="10"/>
        <v>POOR</v>
      </c>
      <c r="O82" s="29">
        <f t="shared" si="11"/>
        <v>89.238845144356958</v>
      </c>
      <c r="P82" s="32">
        <f t="shared" si="19"/>
        <v>1518.03</v>
      </c>
      <c r="Q82" s="33">
        <f t="shared" si="20"/>
        <v>2867.895</v>
      </c>
      <c r="R82" s="201">
        <f t="shared" si="12"/>
        <v>22500</v>
      </c>
      <c r="S82" s="213">
        <f t="shared" si="21"/>
        <v>25950</v>
      </c>
      <c r="T82" s="214">
        <f t="shared" si="22"/>
        <v>48450</v>
      </c>
      <c r="U82" s="215">
        <f t="shared" si="23"/>
        <v>51900</v>
      </c>
      <c r="V82" s="216">
        <f t="shared" si="24"/>
        <v>74400</v>
      </c>
      <c r="W82" s="206"/>
      <c r="X82" s="207">
        <f t="shared" si="25"/>
        <v>12</v>
      </c>
      <c r="Y82" s="208">
        <f t="shared" si="26"/>
        <v>22</v>
      </c>
      <c r="Z82" s="209">
        <f t="shared" si="27"/>
        <v>23</v>
      </c>
      <c r="AB82" s="250">
        <f t="shared" si="13"/>
        <v>0</v>
      </c>
      <c r="AC82" s="250">
        <f t="shared" si="14"/>
        <v>0</v>
      </c>
      <c r="AD82" s="250">
        <f t="shared" si="15"/>
        <v>429624</v>
      </c>
      <c r="AE82" s="250">
        <f t="shared" si="16"/>
        <v>429624</v>
      </c>
      <c r="AF82" s="251">
        <f t="shared" si="17"/>
        <v>40800</v>
      </c>
    </row>
    <row r="83" spans="1:32" ht="23.25" x14ac:dyDescent="0.35">
      <c r="A83" s="93" t="str">
        <f t="shared" si="0"/>
        <v>Munters WF5015V3CD-50 – Butterfly damper, 50" (1.5hp, CONE)</v>
      </c>
      <c r="B83" s="211">
        <f t="shared" si="1"/>
        <v>37.5</v>
      </c>
      <c r="C83" s="212">
        <f t="shared" si="2"/>
        <v>37900</v>
      </c>
      <c r="D83" s="23">
        <f t="shared" si="3"/>
        <v>12</v>
      </c>
      <c r="E83" s="308">
        <v>0</v>
      </c>
      <c r="F83" s="24">
        <f t="shared" si="4"/>
        <v>454800</v>
      </c>
      <c r="G83" s="255">
        <f t="shared" si="29"/>
        <v>16.5</v>
      </c>
      <c r="H83" s="25">
        <f t="shared" si="6"/>
        <v>4960</v>
      </c>
      <c r="I83" s="68">
        <f t="shared" si="28"/>
        <v>3.18</v>
      </c>
      <c r="J83" s="37">
        <f t="shared" si="18"/>
        <v>9.0203842400000021</v>
      </c>
      <c r="K83" s="82">
        <f t="shared" si="7"/>
        <v>0.77</v>
      </c>
      <c r="L83" s="83" t="str">
        <f t="shared" si="8"/>
        <v>GOOD</v>
      </c>
      <c r="M83" s="84">
        <f t="shared" si="9"/>
        <v>30.1</v>
      </c>
      <c r="N83" s="85" t="str">
        <f t="shared" si="10"/>
        <v>POOR</v>
      </c>
      <c r="O83" s="29">
        <f t="shared" si="11"/>
        <v>78.040244969378833</v>
      </c>
      <c r="P83" s="32">
        <f t="shared" si="19"/>
        <v>1519.0320000000002</v>
      </c>
      <c r="Q83" s="33">
        <f t="shared" si="20"/>
        <v>2869.788</v>
      </c>
      <c r="R83" s="201">
        <f t="shared" si="12"/>
        <v>18000</v>
      </c>
      <c r="S83" s="213">
        <f t="shared" si="21"/>
        <v>24800</v>
      </c>
      <c r="T83" s="214">
        <f t="shared" si="22"/>
        <v>42800</v>
      </c>
      <c r="U83" s="215">
        <f t="shared" si="23"/>
        <v>49600</v>
      </c>
      <c r="V83" s="216">
        <f t="shared" si="24"/>
        <v>67600</v>
      </c>
      <c r="W83" s="206"/>
      <c r="X83" s="207">
        <f t="shared" si="25"/>
        <v>17</v>
      </c>
      <c r="Y83" s="208">
        <f t="shared" si="26"/>
        <v>9</v>
      </c>
      <c r="Z83" s="209">
        <f t="shared" si="27"/>
        <v>13</v>
      </c>
      <c r="AB83" s="250">
        <f t="shared" si="13"/>
        <v>0</v>
      </c>
      <c r="AC83" s="250">
        <f t="shared" si="14"/>
        <v>2</v>
      </c>
      <c r="AD83" s="250">
        <f t="shared" si="15"/>
        <v>429624</v>
      </c>
      <c r="AE83" s="250">
        <f t="shared" si="16"/>
        <v>429624</v>
      </c>
      <c r="AF83" s="251">
        <f t="shared" si="17"/>
        <v>44600</v>
      </c>
    </row>
    <row r="84" spans="1:32" ht="23.25" x14ac:dyDescent="0.35">
      <c r="A84" s="93" t="str">
        <f t="shared" si="0"/>
        <v>American Coolair MNBF60M (60Hz) 1.5 hp</v>
      </c>
      <c r="B84" s="211">
        <f t="shared" si="1"/>
        <v>37.5</v>
      </c>
      <c r="C84" s="212">
        <f t="shared" si="2"/>
        <v>41310</v>
      </c>
      <c r="D84" s="23">
        <f t="shared" si="3"/>
        <v>11</v>
      </c>
      <c r="E84" s="308">
        <v>0</v>
      </c>
      <c r="F84" s="24">
        <f t="shared" si="4"/>
        <v>454400</v>
      </c>
      <c r="G84" s="255">
        <f t="shared" si="29"/>
        <v>16.2</v>
      </c>
      <c r="H84" s="25">
        <f t="shared" si="6"/>
        <v>4870</v>
      </c>
      <c r="I84" s="68">
        <f t="shared" si="28"/>
        <v>3.17</v>
      </c>
      <c r="J84" s="37">
        <f t="shared" si="18"/>
        <v>8.9645046400000012</v>
      </c>
      <c r="K84" s="82">
        <f t="shared" si="7"/>
        <v>0.69</v>
      </c>
      <c r="L84" s="83" t="str">
        <f t="shared" si="8"/>
        <v>POOR</v>
      </c>
      <c r="M84" s="84">
        <f t="shared" si="9"/>
        <v>31.2</v>
      </c>
      <c r="N84" s="85" t="str">
        <f t="shared" si="10"/>
        <v>POOR</v>
      </c>
      <c r="O84" s="29">
        <f t="shared" si="11"/>
        <v>79.348206474190732</v>
      </c>
      <c r="P84" s="32">
        <f t="shared" si="19"/>
        <v>1517.6960000000001</v>
      </c>
      <c r="Q84" s="33">
        <f t="shared" si="20"/>
        <v>2867.2639999999997</v>
      </c>
      <c r="R84" s="201">
        <f t="shared" si="12"/>
        <v>24079</v>
      </c>
      <c r="S84" s="213">
        <f t="shared" si="21"/>
        <v>24350</v>
      </c>
      <c r="T84" s="214">
        <f t="shared" si="22"/>
        <v>48429</v>
      </c>
      <c r="U84" s="215">
        <f t="shared" si="23"/>
        <v>48700</v>
      </c>
      <c r="V84" s="216">
        <f t="shared" si="24"/>
        <v>72779</v>
      </c>
      <c r="W84" s="206"/>
      <c r="X84" s="207">
        <f t="shared" si="25"/>
        <v>14</v>
      </c>
      <c r="Y84" s="208">
        <f t="shared" si="26"/>
        <v>20</v>
      </c>
      <c r="Z84" s="209">
        <f t="shared" si="27"/>
        <v>21</v>
      </c>
      <c r="AB84" s="250">
        <f t="shared" ref="AB84:AB98" si="30">+IF(F34="","",IF(F34&gt;=37.38,4,IF(F34&gt;=35.68,3,IF(F34&gt;=33.98,2,IF(F34&gt;=32.28,1,0)))))</f>
        <v>0</v>
      </c>
      <c r="AC84" s="250">
        <f t="shared" si="14"/>
        <v>0</v>
      </c>
      <c r="AD84" s="250">
        <f t="shared" si="15"/>
        <v>429624</v>
      </c>
      <c r="AE84" s="250">
        <f t="shared" si="16"/>
        <v>429624</v>
      </c>
      <c r="AF84" s="251">
        <f t="shared" si="17"/>
        <v>49470</v>
      </c>
    </row>
    <row r="85" spans="1:32" ht="23.25" x14ac:dyDescent="0.35">
      <c r="A85" s="93" t="str">
        <f t="shared" si="0"/>
        <v>American Coolair MNBFC60M (60Hz) CONE 1.5 hp</v>
      </c>
      <c r="B85" s="211">
        <f t="shared" si="1"/>
        <v>37.5</v>
      </c>
      <c r="C85" s="212">
        <f t="shared" si="2"/>
        <v>44880</v>
      </c>
      <c r="D85" s="23">
        <f t="shared" si="3"/>
        <v>10</v>
      </c>
      <c r="E85" s="308">
        <v>0</v>
      </c>
      <c r="F85" s="24">
        <f t="shared" si="4"/>
        <v>448800</v>
      </c>
      <c r="G85" s="255">
        <f t="shared" si="29"/>
        <v>14.9</v>
      </c>
      <c r="H85" s="25">
        <f t="shared" si="6"/>
        <v>4470</v>
      </c>
      <c r="I85" s="68">
        <f t="shared" si="28"/>
        <v>3.13</v>
      </c>
      <c r="J85" s="37">
        <f t="shared" si="18"/>
        <v>8.7427214400000004</v>
      </c>
      <c r="K85" s="82">
        <f t="shared" si="7"/>
        <v>0.68</v>
      </c>
      <c r="L85" s="83" t="str">
        <f t="shared" si="8"/>
        <v>POOR</v>
      </c>
      <c r="M85" s="84">
        <f t="shared" si="9"/>
        <v>33.799999999999997</v>
      </c>
      <c r="N85" s="85" t="str">
        <f t="shared" si="10"/>
        <v>MIN ACCEPTABLE</v>
      </c>
      <c r="O85" s="29">
        <f t="shared" si="11"/>
        <v>79.323417906095074</v>
      </c>
      <c r="P85" s="32">
        <f t="shared" si="19"/>
        <v>1498.992</v>
      </c>
      <c r="Q85" s="33">
        <f t="shared" si="20"/>
        <v>2831.9279999999999</v>
      </c>
      <c r="R85" s="201">
        <f t="shared" si="12"/>
        <v>24450</v>
      </c>
      <c r="S85" s="213">
        <f t="shared" si="21"/>
        <v>22350</v>
      </c>
      <c r="T85" s="214">
        <f t="shared" si="22"/>
        <v>46800</v>
      </c>
      <c r="U85" s="215">
        <f t="shared" si="23"/>
        <v>44700</v>
      </c>
      <c r="V85" s="216">
        <f t="shared" si="24"/>
        <v>69150</v>
      </c>
      <c r="W85" s="206"/>
      <c r="X85" s="207">
        <f t="shared" si="25"/>
        <v>5</v>
      </c>
      <c r="Y85" s="208">
        <f t="shared" si="26"/>
        <v>21</v>
      </c>
      <c r="Z85" s="209">
        <f t="shared" si="27"/>
        <v>16</v>
      </c>
      <c r="AB85" s="250">
        <f t="shared" si="30"/>
        <v>1</v>
      </c>
      <c r="AC85" s="250">
        <f t="shared" si="14"/>
        <v>0</v>
      </c>
      <c r="AD85" s="250">
        <f t="shared" si="15"/>
        <v>429624</v>
      </c>
      <c r="AE85" s="250">
        <f t="shared" si="16"/>
        <v>429624</v>
      </c>
      <c r="AF85" s="251">
        <f t="shared" si="17"/>
        <v>54400</v>
      </c>
    </row>
    <row r="86" spans="1:32" ht="23.25" x14ac:dyDescent="0.35">
      <c r="A86" s="93" t="str">
        <f t="shared" si="0"/>
        <v>American Coolair MNBFA54L (60Hz) 1hp</v>
      </c>
      <c r="B86" s="211">
        <f t="shared" si="1"/>
        <v>37.5</v>
      </c>
      <c r="C86" s="212">
        <f t="shared" si="2"/>
        <v>34690.199999999997</v>
      </c>
      <c r="D86" s="23">
        <f t="shared" si="3"/>
        <v>13</v>
      </c>
      <c r="E86" s="308">
        <v>0</v>
      </c>
      <c r="F86" s="24">
        <f t="shared" si="4"/>
        <v>451000</v>
      </c>
      <c r="G86" s="255">
        <f t="shared" si="29"/>
        <v>15</v>
      </c>
      <c r="H86" s="25">
        <f t="shared" si="6"/>
        <v>4500</v>
      </c>
      <c r="I86" s="68">
        <f t="shared" si="28"/>
        <v>3.15</v>
      </c>
      <c r="J86" s="37">
        <f t="shared" si="18"/>
        <v>8.8532659999999996</v>
      </c>
      <c r="K86" s="82">
        <f t="shared" si="7"/>
        <v>0.75</v>
      </c>
      <c r="L86" s="83" t="str">
        <f t="shared" si="8"/>
        <v>GOOD</v>
      </c>
      <c r="M86" s="84">
        <f t="shared" si="9"/>
        <v>32.64</v>
      </c>
      <c r="N86" s="85" t="str">
        <f t="shared" si="10"/>
        <v>MIN ACCEPTABLE</v>
      </c>
      <c r="O86" s="29">
        <f t="shared" si="11"/>
        <v>76.270457859434231</v>
      </c>
      <c r="P86" s="32">
        <f t="shared" si="19"/>
        <v>1506.3400000000001</v>
      </c>
      <c r="Q86" s="33">
        <f t="shared" si="20"/>
        <v>2845.81</v>
      </c>
      <c r="R86" s="201">
        <f t="shared" si="12"/>
        <v>22854</v>
      </c>
      <c r="S86" s="213">
        <f t="shared" si="21"/>
        <v>22500</v>
      </c>
      <c r="T86" s="214">
        <f t="shared" si="22"/>
        <v>45354</v>
      </c>
      <c r="U86" s="215">
        <f t="shared" si="23"/>
        <v>45000</v>
      </c>
      <c r="V86" s="216">
        <f t="shared" si="24"/>
        <v>67854</v>
      </c>
      <c r="W86" s="206"/>
      <c r="X86" s="207">
        <f t="shared" si="25"/>
        <v>11</v>
      </c>
      <c r="Y86" s="208">
        <f t="shared" si="26"/>
        <v>13</v>
      </c>
      <c r="Z86" s="209">
        <f t="shared" si="27"/>
        <v>14</v>
      </c>
      <c r="AB86" s="250">
        <f t="shared" si="30"/>
        <v>1</v>
      </c>
      <c r="AC86" s="250">
        <f t="shared" si="14"/>
        <v>2</v>
      </c>
      <c r="AD86" s="250">
        <f t="shared" si="15"/>
        <v>429624</v>
      </c>
      <c r="AE86" s="250">
        <f t="shared" si="16"/>
        <v>429624</v>
      </c>
      <c r="AF86" s="251">
        <f t="shared" si="17"/>
        <v>40235.599999999999</v>
      </c>
    </row>
    <row r="87" spans="1:32" ht="23.25" x14ac:dyDescent="0.35">
      <c r="A87" s="93" t="str">
        <f t="shared" si="0"/>
        <v>American Coolair MNBFA54M (60Hz) 1.5hp)</v>
      </c>
      <c r="B87" s="211">
        <f t="shared" si="1"/>
        <v>37.5</v>
      </c>
      <c r="C87" s="212">
        <f t="shared" si="2"/>
        <v>40294</v>
      </c>
      <c r="D87" s="23">
        <f t="shared" si="3"/>
        <v>11</v>
      </c>
      <c r="E87" s="308">
        <v>0</v>
      </c>
      <c r="F87" s="24">
        <f t="shared" si="4"/>
        <v>443200</v>
      </c>
      <c r="G87" s="255">
        <f t="shared" si="29"/>
        <v>17.8</v>
      </c>
      <c r="H87" s="25">
        <f t="shared" si="6"/>
        <v>5350</v>
      </c>
      <c r="I87" s="68">
        <f t="shared" si="28"/>
        <v>3.09</v>
      </c>
      <c r="J87" s="37">
        <f t="shared" si="18"/>
        <v>8.5237145600000019</v>
      </c>
      <c r="K87" s="82">
        <f t="shared" si="7"/>
        <v>0.83</v>
      </c>
      <c r="L87" s="83" t="str">
        <f t="shared" si="8"/>
        <v>OUTSTANDING</v>
      </c>
      <c r="M87" s="84">
        <f t="shared" si="9"/>
        <v>26.33</v>
      </c>
      <c r="N87" s="85" t="str">
        <f t="shared" si="10"/>
        <v>POOR</v>
      </c>
      <c r="O87" s="29">
        <f t="shared" si="11"/>
        <v>72.245844269466318</v>
      </c>
      <c r="P87" s="32">
        <f t="shared" si="19"/>
        <v>1480.288</v>
      </c>
      <c r="Q87" s="33">
        <f t="shared" si="20"/>
        <v>2796.5919999999996</v>
      </c>
      <c r="R87" s="201">
        <f t="shared" si="12"/>
        <v>20130</v>
      </c>
      <c r="S87" s="213">
        <f t="shared" si="21"/>
        <v>26750</v>
      </c>
      <c r="T87" s="214">
        <f t="shared" si="22"/>
        <v>46880</v>
      </c>
      <c r="U87" s="215">
        <f t="shared" si="23"/>
        <v>53500</v>
      </c>
      <c r="V87" s="216">
        <f t="shared" si="24"/>
        <v>73630</v>
      </c>
      <c r="W87" s="206"/>
      <c r="X87" s="207">
        <f t="shared" si="25"/>
        <v>22</v>
      </c>
      <c r="Y87" s="208">
        <f t="shared" si="26"/>
        <v>4</v>
      </c>
      <c r="Z87" s="209">
        <f t="shared" si="27"/>
        <v>22</v>
      </c>
      <c r="AB87" s="250">
        <f t="shared" si="30"/>
        <v>0</v>
      </c>
      <c r="AC87" s="250">
        <f t="shared" si="14"/>
        <v>4</v>
      </c>
      <c r="AD87" s="250">
        <f t="shared" si="15"/>
        <v>429624</v>
      </c>
      <c r="AE87" s="250">
        <f t="shared" si="16"/>
        <v>429624</v>
      </c>
      <c r="AF87" s="251">
        <f t="shared" si="17"/>
        <v>45042</v>
      </c>
    </row>
    <row r="88" spans="1:32" ht="23.25" x14ac:dyDescent="0.35">
      <c r="A88" s="93" t="str">
        <f t="shared" si="0"/>
        <v>American Coolair MNBFA54N (60Hz) 2hp</v>
      </c>
      <c r="B88" s="211">
        <f t="shared" si="1"/>
        <v>37.5</v>
      </c>
      <c r="C88" s="212">
        <f t="shared" si="2"/>
        <v>44529</v>
      </c>
      <c r="D88" s="23">
        <f t="shared" si="3"/>
        <v>10</v>
      </c>
      <c r="E88" s="308">
        <v>0</v>
      </c>
      <c r="F88" s="24">
        <f t="shared" si="4"/>
        <v>445300</v>
      </c>
      <c r="G88" s="255">
        <f t="shared" si="29"/>
        <v>23.2</v>
      </c>
      <c r="H88" s="25">
        <f t="shared" si="6"/>
        <v>6970</v>
      </c>
      <c r="I88" s="68">
        <f t="shared" si="28"/>
        <v>3.11</v>
      </c>
      <c r="J88" s="37">
        <f t="shared" si="18"/>
        <v>8.63287096</v>
      </c>
      <c r="K88" s="82">
        <f t="shared" si="7"/>
        <v>0.86</v>
      </c>
      <c r="L88" s="83" t="str">
        <f t="shared" si="8"/>
        <v>OUTSTANDING</v>
      </c>
      <c r="M88" s="84">
        <f t="shared" si="9"/>
        <v>20.100000000000001</v>
      </c>
      <c r="N88" s="85" t="str">
        <f t="shared" si="10"/>
        <v>POOR</v>
      </c>
      <c r="O88" s="29">
        <f t="shared" si="11"/>
        <v>71.267133275007296</v>
      </c>
      <c r="P88" s="32">
        <f t="shared" si="19"/>
        <v>1487.3020000000001</v>
      </c>
      <c r="Q88" s="33">
        <f t="shared" si="20"/>
        <v>2809.8429999999998</v>
      </c>
      <c r="R88" s="201">
        <f t="shared" si="12"/>
        <v>18920</v>
      </c>
      <c r="S88" s="213">
        <f t="shared" si="21"/>
        <v>34850</v>
      </c>
      <c r="T88" s="214">
        <f t="shared" si="22"/>
        <v>53770</v>
      </c>
      <c r="U88" s="215">
        <f t="shared" si="23"/>
        <v>69700</v>
      </c>
      <c r="V88" s="216">
        <f t="shared" si="24"/>
        <v>88620</v>
      </c>
      <c r="W88" s="206"/>
      <c r="X88" s="207">
        <f t="shared" si="25"/>
        <v>25</v>
      </c>
      <c r="Y88" s="208">
        <f t="shared" si="26"/>
        <v>1</v>
      </c>
      <c r="Z88" s="209">
        <f t="shared" si="27"/>
        <v>25</v>
      </c>
      <c r="AB88" s="250">
        <f t="shared" si="30"/>
        <v>0</v>
      </c>
      <c r="AC88" s="250">
        <f t="shared" si="14"/>
        <v>4</v>
      </c>
      <c r="AD88" s="250">
        <f t="shared" si="15"/>
        <v>429624</v>
      </c>
      <c r="AE88" s="250">
        <f t="shared" si="16"/>
        <v>429624</v>
      </c>
      <c r="AF88" s="251">
        <f t="shared" si="17"/>
        <v>48875</v>
      </c>
    </row>
    <row r="89" spans="1:32" ht="23.25" x14ac:dyDescent="0.35">
      <c r="A89" s="93" t="str">
        <f t="shared" si="0"/>
        <v>American Coolair MNBFA48L (60Hz) 1hp with CONE</v>
      </c>
      <c r="B89" s="211">
        <f t="shared" si="1"/>
        <v>37.5</v>
      </c>
      <c r="C89" s="212">
        <f t="shared" si="2"/>
        <v>26651</v>
      </c>
      <c r="D89" s="23">
        <f t="shared" si="3"/>
        <v>17</v>
      </c>
      <c r="E89" s="308">
        <v>0</v>
      </c>
      <c r="F89" s="24">
        <f t="shared" si="4"/>
        <v>453100</v>
      </c>
      <c r="G89" s="255">
        <f t="shared" si="29"/>
        <v>15.8</v>
      </c>
      <c r="H89" s="25">
        <f t="shared" si="6"/>
        <v>4730</v>
      </c>
      <c r="I89" s="68">
        <f t="shared" si="28"/>
        <v>3.16</v>
      </c>
      <c r="J89" s="37">
        <f t="shared" si="18"/>
        <v>8.9087985600000028</v>
      </c>
      <c r="K89" s="82">
        <f t="shared" si="7"/>
        <v>0.76</v>
      </c>
      <c r="L89" s="83" t="str">
        <f t="shared" si="8"/>
        <v>GOOD</v>
      </c>
      <c r="M89" s="84">
        <f t="shared" si="9"/>
        <v>31.3</v>
      </c>
      <c r="N89" s="85" t="str">
        <f t="shared" si="10"/>
        <v>POOR</v>
      </c>
      <c r="O89" s="29">
        <f t="shared" si="11"/>
        <v>77.803878681831435</v>
      </c>
      <c r="P89" s="32">
        <f t="shared" si="19"/>
        <v>1513.354</v>
      </c>
      <c r="Q89" s="33">
        <f t="shared" si="20"/>
        <v>2859.0609999999997</v>
      </c>
      <c r="R89" s="201">
        <f t="shared" si="12"/>
        <v>24786</v>
      </c>
      <c r="S89" s="213">
        <f t="shared" si="21"/>
        <v>23650</v>
      </c>
      <c r="T89" s="214">
        <f t="shared" si="22"/>
        <v>48436</v>
      </c>
      <c r="U89" s="215">
        <f t="shared" si="23"/>
        <v>47300</v>
      </c>
      <c r="V89" s="216">
        <f t="shared" si="24"/>
        <v>72086</v>
      </c>
      <c r="W89" s="206"/>
      <c r="X89" s="207">
        <f t="shared" si="25"/>
        <v>13</v>
      </c>
      <c r="Y89" s="208">
        <f t="shared" si="26"/>
        <v>11</v>
      </c>
      <c r="Z89" s="209">
        <f t="shared" si="27"/>
        <v>20</v>
      </c>
      <c r="AB89" s="250">
        <f t="shared" si="30"/>
        <v>0</v>
      </c>
      <c r="AC89" s="250">
        <f t="shared" si="14"/>
        <v>2</v>
      </c>
      <c r="AD89" s="250">
        <f t="shared" si="15"/>
        <v>429624</v>
      </c>
      <c r="AE89" s="250">
        <f t="shared" si="16"/>
        <v>429624</v>
      </c>
      <c r="AF89" s="251">
        <f t="shared" si="17"/>
        <v>31387</v>
      </c>
    </row>
    <row r="90" spans="1:32" ht="23.25" x14ac:dyDescent="0.35">
      <c r="A90" s="93" t="str">
        <f t="shared" si="0"/>
        <v>American Coolair MNCFC52L (60Hz) CONE 1hp</v>
      </c>
      <c r="B90" s="211">
        <f t="shared" si="1"/>
        <v>37.5</v>
      </c>
      <c r="C90" s="212">
        <f t="shared" si="2"/>
        <v>33150</v>
      </c>
      <c r="D90" s="23">
        <f t="shared" si="3"/>
        <v>13</v>
      </c>
      <c r="E90" s="308">
        <v>0</v>
      </c>
      <c r="F90" s="24">
        <f t="shared" si="4"/>
        <v>431000</v>
      </c>
      <c r="G90" s="255">
        <f t="shared" si="29"/>
        <v>16.100000000000001</v>
      </c>
      <c r="H90" s="25">
        <f t="shared" si="6"/>
        <v>4820</v>
      </c>
      <c r="I90" s="68">
        <f t="shared" si="28"/>
        <v>3.01</v>
      </c>
      <c r="J90" s="37">
        <f t="shared" si="18"/>
        <v>8.0940297599999997</v>
      </c>
      <c r="K90" s="82">
        <f t="shared" si="7"/>
        <v>0.64</v>
      </c>
      <c r="L90" s="83" t="str">
        <f t="shared" si="8"/>
        <v>POOR</v>
      </c>
      <c r="M90" s="84">
        <f t="shared" si="9"/>
        <v>30.43</v>
      </c>
      <c r="N90" s="85" t="str">
        <f t="shared" si="10"/>
        <v>POOR</v>
      </c>
      <c r="O90" s="29">
        <f t="shared" si="11"/>
        <v>78.30708661417323</v>
      </c>
      <c r="P90" s="32">
        <f t="shared" si="19"/>
        <v>1439.54</v>
      </c>
      <c r="Q90" s="33">
        <f t="shared" si="20"/>
        <v>2719.6099999999997</v>
      </c>
      <c r="R90" s="201">
        <f t="shared" si="12"/>
        <v>22204</v>
      </c>
      <c r="S90" s="213">
        <f t="shared" si="21"/>
        <v>24100</v>
      </c>
      <c r="T90" s="214">
        <f t="shared" si="22"/>
        <v>46304</v>
      </c>
      <c r="U90" s="215">
        <f t="shared" si="23"/>
        <v>48200</v>
      </c>
      <c r="V90" s="216">
        <f t="shared" si="24"/>
        <v>70404</v>
      </c>
      <c r="W90" s="206"/>
      <c r="X90" s="207">
        <f t="shared" si="25"/>
        <v>16</v>
      </c>
      <c r="Y90" s="208">
        <f t="shared" si="26"/>
        <v>22</v>
      </c>
      <c r="Z90" s="209">
        <f t="shared" si="27"/>
        <v>19</v>
      </c>
      <c r="AB90" s="250">
        <f t="shared" si="30"/>
        <v>0</v>
      </c>
      <c r="AC90" s="250">
        <f t="shared" si="14"/>
        <v>0</v>
      </c>
      <c r="AD90" s="250">
        <f t="shared" si="15"/>
        <v>429624</v>
      </c>
      <c r="AE90" s="250">
        <f t="shared" si="16"/>
        <v>429624</v>
      </c>
      <c r="AF90" s="251">
        <f t="shared" si="17"/>
        <v>41310</v>
      </c>
    </row>
    <row r="91" spans="1:32" ht="23.25" x14ac:dyDescent="0.35">
      <c r="A91" s="93" t="str">
        <f t="shared" si="0"/>
        <v>American Coolair MNBCCE54L (60 Hz) CONE 1hp</v>
      </c>
      <c r="B91" s="211">
        <f t="shared" si="1"/>
        <v>37.5</v>
      </c>
      <c r="C91" s="212">
        <f t="shared" si="2"/>
        <v>36019</v>
      </c>
      <c r="D91" s="23">
        <f t="shared" si="3"/>
        <v>12</v>
      </c>
      <c r="E91" s="308">
        <v>0</v>
      </c>
      <c r="F91" s="24">
        <f t="shared" si="4"/>
        <v>432200</v>
      </c>
      <c r="G91" s="255">
        <f t="shared" si="29"/>
        <v>10.5</v>
      </c>
      <c r="H91" s="25">
        <f t="shared" si="6"/>
        <v>3140</v>
      </c>
      <c r="I91" s="68">
        <f t="shared" si="28"/>
        <v>3.02</v>
      </c>
      <c r="J91" s="37">
        <f t="shared" si="18"/>
        <v>8.1471330400000017</v>
      </c>
      <c r="K91" s="82">
        <f t="shared" si="7"/>
        <v>0.71</v>
      </c>
      <c r="L91" s="83" t="str">
        <f t="shared" si="8"/>
        <v>MIN ACCEPTABLE</v>
      </c>
      <c r="M91" s="84">
        <f t="shared" si="9"/>
        <v>46.2</v>
      </c>
      <c r="N91" s="85" t="str">
        <f t="shared" si="10"/>
        <v>OUTSTANDING</v>
      </c>
      <c r="O91" s="29">
        <f t="shared" si="11"/>
        <v>76.104986876640424</v>
      </c>
      <c r="P91" s="32">
        <f t="shared" si="19"/>
        <v>1443.548</v>
      </c>
      <c r="Q91" s="33">
        <f t="shared" si="20"/>
        <v>2727.1819999999998</v>
      </c>
      <c r="R91" s="201">
        <f t="shared" si="12"/>
        <v>22656</v>
      </c>
      <c r="S91" s="213">
        <f t="shared" si="21"/>
        <v>15700</v>
      </c>
      <c r="T91" s="214">
        <f t="shared" si="22"/>
        <v>38356</v>
      </c>
      <c r="U91" s="215">
        <f t="shared" si="23"/>
        <v>31400</v>
      </c>
      <c r="V91" s="216">
        <f t="shared" si="24"/>
        <v>54056</v>
      </c>
      <c r="W91" s="206"/>
      <c r="X91" s="207">
        <f t="shared" si="25"/>
        <v>1</v>
      </c>
      <c r="Y91" s="208">
        <f t="shared" si="26"/>
        <v>19</v>
      </c>
      <c r="Z91" s="209">
        <f t="shared" si="27"/>
        <v>3</v>
      </c>
      <c r="AB91" s="250">
        <f t="shared" si="30"/>
        <v>4</v>
      </c>
      <c r="AC91" s="250">
        <f t="shared" si="14"/>
        <v>1</v>
      </c>
      <c r="AD91" s="250">
        <f t="shared" si="15"/>
        <v>429624</v>
      </c>
      <c r="AE91" s="250">
        <f t="shared" si="16"/>
        <v>429624</v>
      </c>
      <c r="AF91" s="251">
        <f t="shared" si="17"/>
        <v>43494</v>
      </c>
    </row>
    <row r="92" spans="1:32" ht="23.25" x14ac:dyDescent="0.35">
      <c r="A92" s="93" t="str">
        <f t="shared" si="0"/>
        <v>American Coolair MNCFE52L (60Hz) 1hp</v>
      </c>
      <c r="B92" s="211">
        <f t="shared" si="1"/>
        <v>37.5</v>
      </c>
      <c r="C92" s="212">
        <f t="shared" si="2"/>
        <v>28050</v>
      </c>
      <c r="D92" s="23">
        <f t="shared" si="3"/>
        <v>16</v>
      </c>
      <c r="E92" s="308">
        <v>0</v>
      </c>
      <c r="F92" s="24">
        <f t="shared" si="4"/>
        <v>448800</v>
      </c>
      <c r="G92" s="255">
        <f t="shared" si="29"/>
        <v>15.4</v>
      </c>
      <c r="H92" s="25">
        <f t="shared" si="6"/>
        <v>4630</v>
      </c>
      <c r="I92" s="68">
        <f t="shared" si="28"/>
        <v>3.13</v>
      </c>
      <c r="J92" s="37">
        <f t="shared" si="18"/>
        <v>8.7427214400000004</v>
      </c>
      <c r="K92" s="82">
        <f t="shared" si="7"/>
        <v>0.61</v>
      </c>
      <c r="L92" s="83" t="str">
        <f t="shared" si="8"/>
        <v>POOR</v>
      </c>
      <c r="M92" s="84">
        <f t="shared" si="9"/>
        <v>33.49</v>
      </c>
      <c r="N92" s="85" t="str">
        <f t="shared" si="10"/>
        <v>MIN ACCEPTABLE</v>
      </c>
      <c r="O92" s="29">
        <f t="shared" si="11"/>
        <v>82.89297171186935</v>
      </c>
      <c r="P92" s="32">
        <f t="shared" si="19"/>
        <v>1498.992</v>
      </c>
      <c r="Q92" s="33">
        <f t="shared" si="20"/>
        <v>2831.9279999999999</v>
      </c>
      <c r="R92" s="201">
        <f t="shared" si="12"/>
        <v>23520</v>
      </c>
      <c r="S92" s="213">
        <f t="shared" si="21"/>
        <v>23150</v>
      </c>
      <c r="T92" s="214">
        <f t="shared" si="22"/>
        <v>46670</v>
      </c>
      <c r="U92" s="215">
        <f t="shared" si="23"/>
        <v>46300</v>
      </c>
      <c r="V92" s="216">
        <f t="shared" si="24"/>
        <v>69820</v>
      </c>
      <c r="W92" s="206"/>
      <c r="X92" s="207">
        <f t="shared" si="25"/>
        <v>8</v>
      </c>
      <c r="Y92" s="208">
        <f t="shared" si="26"/>
        <v>25</v>
      </c>
      <c r="Z92" s="209">
        <f t="shared" si="27"/>
        <v>17</v>
      </c>
      <c r="AB92" s="250">
        <f t="shared" si="30"/>
        <v>1</v>
      </c>
      <c r="AC92" s="250">
        <f t="shared" si="14"/>
        <v>0</v>
      </c>
      <c r="AD92" s="250">
        <f t="shared" si="15"/>
        <v>429624</v>
      </c>
      <c r="AE92" s="250">
        <f t="shared" si="16"/>
        <v>429624</v>
      </c>
      <c r="AF92" s="251">
        <f t="shared" si="17"/>
        <v>35530</v>
      </c>
    </row>
    <row r="93" spans="1:32" ht="23.25" x14ac:dyDescent="0.35">
      <c r="A93" s="93" t="str">
        <f t="shared" si="0"/>
        <v>Chore-Time 52157-51 (54", 1.5hp, 3 blade) CONE</v>
      </c>
      <c r="B93" s="211">
        <f t="shared" si="1"/>
        <v>37.5</v>
      </c>
      <c r="C93" s="212">
        <f t="shared" si="2"/>
        <v>43834</v>
      </c>
      <c r="D93" s="23">
        <f t="shared" si="3"/>
        <v>10</v>
      </c>
      <c r="E93" s="308">
        <v>0</v>
      </c>
      <c r="F93" s="24">
        <f t="shared" si="4"/>
        <v>438300</v>
      </c>
      <c r="G93" s="255">
        <f t="shared" si="29"/>
        <v>14.2</v>
      </c>
      <c r="H93" s="25">
        <f t="shared" si="6"/>
        <v>4250</v>
      </c>
      <c r="I93" s="68">
        <f t="shared" si="28"/>
        <v>3.06</v>
      </c>
      <c r="J93" s="37">
        <f t="shared" si="18"/>
        <v>8.3612813600000013</v>
      </c>
      <c r="K93" s="82">
        <f t="shared" si="7"/>
        <v>0.78</v>
      </c>
      <c r="L93" s="83" t="str">
        <f t="shared" si="8"/>
        <v>EXCELLENT</v>
      </c>
      <c r="M93" s="84">
        <f t="shared" si="9"/>
        <v>33.799999999999997</v>
      </c>
      <c r="N93" s="85" t="str">
        <f t="shared" si="10"/>
        <v>MIN ACCEPTABLE</v>
      </c>
      <c r="O93" s="29">
        <f t="shared" si="11"/>
        <v>74.817731116943719</v>
      </c>
      <c r="P93" s="32">
        <f t="shared" si="19"/>
        <v>1463.922</v>
      </c>
      <c r="Q93" s="33">
        <f t="shared" si="20"/>
        <v>2765.6729999999998</v>
      </c>
      <c r="R93" s="201">
        <f t="shared" si="12"/>
        <v>15420</v>
      </c>
      <c r="S93" s="213">
        <f t="shared" si="21"/>
        <v>21250</v>
      </c>
      <c r="T93" s="214">
        <f t="shared" si="22"/>
        <v>36670</v>
      </c>
      <c r="U93" s="215">
        <f t="shared" si="23"/>
        <v>42500</v>
      </c>
      <c r="V93" s="216">
        <f t="shared" si="24"/>
        <v>57920</v>
      </c>
      <c r="W93" s="206"/>
      <c r="X93" s="207">
        <f t="shared" si="25"/>
        <v>5</v>
      </c>
      <c r="Y93" s="208">
        <f t="shared" si="26"/>
        <v>7</v>
      </c>
      <c r="Z93" s="209">
        <f t="shared" si="27"/>
        <v>5</v>
      </c>
      <c r="AB93" s="250">
        <f t="shared" si="30"/>
        <v>1</v>
      </c>
      <c r="AC93" s="250">
        <f t="shared" si="14"/>
        <v>3</v>
      </c>
      <c r="AD93" s="250">
        <f t="shared" si="15"/>
        <v>429624</v>
      </c>
      <c r="AE93" s="250">
        <f t="shared" si="16"/>
        <v>429624</v>
      </c>
      <c r="AF93" s="251">
        <f t="shared" si="17"/>
        <v>51310</v>
      </c>
    </row>
    <row r="94" spans="1:32" ht="23.25" x14ac:dyDescent="0.35">
      <c r="A94" s="93" t="str">
        <f t="shared" si="0"/>
        <v>Multifan MF130 0.75kW (50.5", 1.0hp, 3 blade)</v>
      </c>
      <c r="B94" s="211">
        <f t="shared" si="1"/>
        <v>37.5</v>
      </c>
      <c r="C94" s="212">
        <f t="shared" si="2"/>
        <v>27200</v>
      </c>
      <c r="D94" s="23">
        <f t="shared" si="3"/>
        <v>16</v>
      </c>
      <c r="E94" s="308">
        <v>0</v>
      </c>
      <c r="F94" s="24">
        <f t="shared" si="4"/>
        <v>435200</v>
      </c>
      <c r="G94" s="255">
        <f t="shared" si="29"/>
        <v>18.8</v>
      </c>
      <c r="H94" s="25">
        <f t="shared" si="6"/>
        <v>5640</v>
      </c>
      <c r="I94" s="68">
        <f t="shared" si="28"/>
        <v>3.04</v>
      </c>
      <c r="J94" s="37">
        <f t="shared" si="18"/>
        <v>8.2538601600000003</v>
      </c>
      <c r="K94" s="82">
        <f t="shared" si="7"/>
        <v>0.64</v>
      </c>
      <c r="L94" s="83" t="str">
        <f t="shared" si="8"/>
        <v>POOR</v>
      </c>
      <c r="M94" s="84">
        <f t="shared" si="9"/>
        <v>27.3</v>
      </c>
      <c r="N94" s="85" t="str">
        <f t="shared" si="10"/>
        <v>POOR</v>
      </c>
      <c r="O94" s="29">
        <f t="shared" si="11"/>
        <v>82.589676290463686</v>
      </c>
      <c r="P94" s="32">
        <f t="shared" si="19"/>
        <v>1453.568</v>
      </c>
      <c r="Q94" s="33">
        <f t="shared" si="20"/>
        <v>2746.1119999999996</v>
      </c>
      <c r="R94" s="201">
        <f t="shared" si="12"/>
        <v>11520</v>
      </c>
      <c r="S94" s="213">
        <f t="shared" si="21"/>
        <v>28200</v>
      </c>
      <c r="T94" s="214">
        <f t="shared" si="22"/>
        <v>39720</v>
      </c>
      <c r="U94" s="215">
        <f t="shared" si="23"/>
        <v>56400</v>
      </c>
      <c r="V94" s="216">
        <f t="shared" si="24"/>
        <v>67920</v>
      </c>
      <c r="W94" s="206"/>
      <c r="X94" s="207">
        <f t="shared" si="25"/>
        <v>19</v>
      </c>
      <c r="Y94" s="208">
        <f t="shared" si="26"/>
        <v>22</v>
      </c>
      <c r="Z94" s="209">
        <f t="shared" si="27"/>
        <v>15</v>
      </c>
      <c r="AB94" s="250">
        <f t="shared" si="30"/>
        <v>0</v>
      </c>
      <c r="AC94" s="250">
        <f t="shared" si="14"/>
        <v>0</v>
      </c>
      <c r="AD94" s="250">
        <f t="shared" si="15"/>
        <v>429624</v>
      </c>
      <c r="AE94" s="250">
        <f t="shared" si="16"/>
        <v>429624</v>
      </c>
      <c r="AF94" s="251">
        <f t="shared" si="17"/>
        <v>35400</v>
      </c>
    </row>
    <row r="95" spans="1:32" ht="23.25" x14ac:dyDescent="0.35">
      <c r="A95" s="93" t="str">
        <f t="shared" si="0"/>
        <v>Multifan MF130 1.12 kW (50.5", 1.5 hp, 3 blade)</v>
      </c>
      <c r="B95" s="211">
        <f t="shared" si="1"/>
        <v>37.5</v>
      </c>
      <c r="C95" s="212">
        <f t="shared" si="2"/>
        <v>34600</v>
      </c>
      <c r="D95" s="23">
        <f t="shared" si="3"/>
        <v>13</v>
      </c>
      <c r="E95" s="308">
        <v>0</v>
      </c>
      <c r="F95" s="24">
        <f t="shared" si="4"/>
        <v>449800</v>
      </c>
      <c r="G95" s="255">
        <f t="shared" si="29"/>
        <v>19.3</v>
      </c>
      <c r="H95" s="25">
        <f t="shared" si="6"/>
        <v>5800</v>
      </c>
      <c r="I95" s="68">
        <f t="shared" si="28"/>
        <v>3.14</v>
      </c>
      <c r="J95" s="37">
        <f t="shared" si="18"/>
        <v>8.7979069600000024</v>
      </c>
      <c r="K95" s="82">
        <f t="shared" si="7"/>
        <v>0.76</v>
      </c>
      <c r="L95" s="83" t="str">
        <f t="shared" si="8"/>
        <v>GOOD</v>
      </c>
      <c r="M95" s="84">
        <f t="shared" si="9"/>
        <v>25.4</v>
      </c>
      <c r="N95" s="85" t="str">
        <f t="shared" si="10"/>
        <v>POOR</v>
      </c>
      <c r="O95" s="29">
        <f t="shared" si="11"/>
        <v>76.202974628171475</v>
      </c>
      <c r="P95" s="32">
        <f t="shared" si="19"/>
        <v>1502.3320000000001</v>
      </c>
      <c r="Q95" s="33">
        <f t="shared" si="20"/>
        <v>2838.2379999999998</v>
      </c>
      <c r="R95" s="201">
        <f t="shared" si="12"/>
        <v>9360</v>
      </c>
      <c r="S95" s="213">
        <f t="shared" si="21"/>
        <v>29000</v>
      </c>
      <c r="T95" s="214">
        <f t="shared" si="22"/>
        <v>38360</v>
      </c>
      <c r="U95" s="215">
        <f t="shared" si="23"/>
        <v>58000</v>
      </c>
      <c r="V95" s="216">
        <f t="shared" si="24"/>
        <v>67360</v>
      </c>
      <c r="W95" s="206"/>
      <c r="X95" s="207">
        <f t="shared" si="25"/>
        <v>23</v>
      </c>
      <c r="Y95" s="208">
        <f t="shared" si="26"/>
        <v>11</v>
      </c>
      <c r="Z95" s="209">
        <f t="shared" si="27"/>
        <v>12</v>
      </c>
      <c r="AB95" s="250">
        <f t="shared" si="30"/>
        <v>0</v>
      </c>
      <c r="AC95" s="250">
        <f t="shared" si="14"/>
        <v>2</v>
      </c>
      <c r="AD95" s="250">
        <f t="shared" si="15"/>
        <v>429624</v>
      </c>
      <c r="AE95" s="250">
        <f t="shared" si="16"/>
        <v>429624</v>
      </c>
      <c r="AF95" s="251">
        <f t="shared" si="17"/>
        <v>40200</v>
      </c>
    </row>
    <row r="96" spans="1:32" ht="23.25" x14ac:dyDescent="0.35">
      <c r="A96" s="93" t="str">
        <f t="shared" si="0"/>
        <v>Multifan MF130 0.75 kW (50.5", 1.0 hp, 3 blade) CONE</v>
      </c>
      <c r="B96" s="211">
        <f t="shared" si="1"/>
        <v>37.5</v>
      </c>
      <c r="C96" s="212">
        <f t="shared" si="2"/>
        <v>32400</v>
      </c>
      <c r="D96" s="23">
        <f t="shared" si="3"/>
        <v>14</v>
      </c>
      <c r="E96" s="308">
        <v>0</v>
      </c>
      <c r="F96" s="24">
        <f t="shared" si="4"/>
        <v>453600</v>
      </c>
      <c r="G96" s="255">
        <f t="shared" si="29"/>
        <v>16.399999999999999</v>
      </c>
      <c r="H96" s="25">
        <f t="shared" si="6"/>
        <v>4910</v>
      </c>
      <c r="I96" s="68">
        <f t="shared" si="28"/>
        <v>3.17</v>
      </c>
      <c r="J96" s="37">
        <f t="shared" si="18"/>
        <v>8.9645046400000012</v>
      </c>
      <c r="K96" s="82">
        <f t="shared" si="7"/>
        <v>0.73</v>
      </c>
      <c r="L96" s="83" t="str">
        <f t="shared" si="8"/>
        <v>GOOD</v>
      </c>
      <c r="M96" s="84">
        <f t="shared" si="9"/>
        <v>30.6</v>
      </c>
      <c r="N96" s="85" t="str">
        <f t="shared" si="10"/>
        <v>POOR</v>
      </c>
      <c r="O96" s="29">
        <f t="shared" si="11"/>
        <v>79.206765820939054</v>
      </c>
      <c r="P96" s="32">
        <f t="shared" si="19"/>
        <v>1515.0240000000001</v>
      </c>
      <c r="Q96" s="33">
        <f t="shared" si="20"/>
        <v>2862.2159999999999</v>
      </c>
      <c r="R96" s="201">
        <f t="shared" si="12"/>
        <v>12460</v>
      </c>
      <c r="S96" s="213">
        <f t="shared" si="21"/>
        <v>24550</v>
      </c>
      <c r="T96" s="214">
        <f t="shared" si="22"/>
        <v>37010</v>
      </c>
      <c r="U96" s="215">
        <f t="shared" si="23"/>
        <v>49100</v>
      </c>
      <c r="V96" s="216">
        <f t="shared" si="24"/>
        <v>61560</v>
      </c>
      <c r="W96" s="206"/>
      <c r="X96" s="207">
        <f t="shared" si="25"/>
        <v>15</v>
      </c>
      <c r="Y96" s="208">
        <f t="shared" si="26"/>
        <v>18</v>
      </c>
      <c r="Z96" s="209">
        <f t="shared" si="27"/>
        <v>8</v>
      </c>
      <c r="AB96" s="250">
        <f t="shared" si="30"/>
        <v>0</v>
      </c>
      <c r="AC96" s="250">
        <f t="shared" si="14"/>
        <v>2</v>
      </c>
      <c r="AD96" s="250">
        <f t="shared" si="15"/>
        <v>429624</v>
      </c>
      <c r="AE96" s="250">
        <f t="shared" si="16"/>
        <v>429624</v>
      </c>
      <c r="AF96" s="251">
        <f t="shared" si="17"/>
        <v>38800</v>
      </c>
    </row>
    <row r="97" spans="1:32" ht="23.25" x14ac:dyDescent="0.35">
      <c r="A97" s="93" t="str">
        <f t="shared" si="0"/>
        <v>Multifan MF130 1.12 kW (50.5", 1.5 hp, 3 blade) CONE</v>
      </c>
      <c r="B97" s="211">
        <f t="shared" si="1"/>
        <v>37.5</v>
      </c>
      <c r="C97" s="212">
        <f t="shared" si="2"/>
        <v>38900</v>
      </c>
      <c r="D97" s="23">
        <f t="shared" si="3"/>
        <v>12</v>
      </c>
      <c r="E97" s="308">
        <v>0</v>
      </c>
      <c r="F97" s="24">
        <f t="shared" si="4"/>
        <v>466800</v>
      </c>
      <c r="G97" s="255">
        <f t="shared" si="29"/>
        <v>17.600000000000001</v>
      </c>
      <c r="H97" s="25">
        <f t="shared" si="6"/>
        <v>5270</v>
      </c>
      <c r="I97" s="68">
        <f t="shared" si="28"/>
        <v>3.26</v>
      </c>
      <c r="J97" s="37">
        <f t="shared" si="18"/>
        <v>9.4736677600000014</v>
      </c>
      <c r="K97" s="82">
        <f t="shared" si="7"/>
        <v>0.82</v>
      </c>
      <c r="L97" s="83" t="str">
        <f t="shared" si="8"/>
        <v>EXCELLENT</v>
      </c>
      <c r="M97" s="84">
        <f t="shared" si="9"/>
        <v>28.5</v>
      </c>
      <c r="N97" s="85" t="str">
        <f t="shared" si="10"/>
        <v>POOR</v>
      </c>
      <c r="O97" s="29">
        <f t="shared" si="11"/>
        <v>77.165354330708666</v>
      </c>
      <c r="P97" s="32">
        <f t="shared" si="19"/>
        <v>1559.1120000000001</v>
      </c>
      <c r="Q97" s="33">
        <f t="shared" si="20"/>
        <v>2945.5079999999998</v>
      </c>
      <c r="R97" s="201">
        <f t="shared" si="12"/>
        <v>10680</v>
      </c>
      <c r="S97" s="213">
        <f t="shared" si="21"/>
        <v>26350</v>
      </c>
      <c r="T97" s="214">
        <f t="shared" si="22"/>
        <v>37030</v>
      </c>
      <c r="U97" s="215">
        <f t="shared" si="23"/>
        <v>52700</v>
      </c>
      <c r="V97" s="216">
        <f t="shared" si="24"/>
        <v>63380</v>
      </c>
      <c r="W97" s="206"/>
      <c r="X97" s="207">
        <f t="shared" si="25"/>
        <v>18</v>
      </c>
      <c r="Y97" s="208">
        <f t="shared" si="26"/>
        <v>5</v>
      </c>
      <c r="Z97" s="209">
        <f t="shared" si="27"/>
        <v>10</v>
      </c>
      <c r="AB97" s="250">
        <f t="shared" si="30"/>
        <v>0</v>
      </c>
      <c r="AC97" s="250">
        <f t="shared" si="14"/>
        <v>3</v>
      </c>
      <c r="AD97" s="250">
        <f t="shared" si="15"/>
        <v>429624</v>
      </c>
      <c r="AE97" s="250">
        <f t="shared" si="16"/>
        <v>429624</v>
      </c>
      <c r="AF97" s="251">
        <f t="shared" si="17"/>
        <v>44100</v>
      </c>
    </row>
    <row r="98" spans="1:32" ht="23.25" x14ac:dyDescent="0.35">
      <c r="A98" s="93" t="str">
        <f t="shared" si="0"/>
        <v/>
      </c>
      <c r="B98" s="211" t="str">
        <f t="shared" si="1"/>
        <v/>
      </c>
      <c r="C98" s="212" t="str">
        <f t="shared" si="2"/>
        <v/>
      </c>
      <c r="D98" s="23" t="str">
        <f t="shared" si="3"/>
        <v/>
      </c>
      <c r="E98" s="308">
        <v>0</v>
      </c>
      <c r="F98" s="24" t="str">
        <f t="shared" si="4"/>
        <v/>
      </c>
      <c r="G98" s="255" t="str">
        <f t="shared" si="29"/>
        <v/>
      </c>
      <c r="H98" s="25" t="str">
        <f t="shared" si="6"/>
        <v/>
      </c>
      <c r="I98" s="68" t="str">
        <f t="shared" si="28"/>
        <v/>
      </c>
      <c r="J98" s="37" t="str">
        <f t="shared" si="18"/>
        <v/>
      </c>
      <c r="K98" s="82" t="str">
        <f t="shared" si="7"/>
        <v/>
      </c>
      <c r="L98" s="83" t="str">
        <f t="shared" si="8"/>
        <v/>
      </c>
      <c r="M98" s="84" t="str">
        <f t="shared" si="9"/>
        <v/>
      </c>
      <c r="N98" s="85" t="str">
        <f t="shared" si="10"/>
        <v/>
      </c>
      <c r="O98" s="29" t="str">
        <f t="shared" si="11"/>
        <v/>
      </c>
      <c r="P98" s="32" t="str">
        <f t="shared" si="19"/>
        <v/>
      </c>
      <c r="Q98" s="33" t="str">
        <f t="shared" si="20"/>
        <v/>
      </c>
      <c r="R98" s="201" t="str">
        <f t="shared" si="12"/>
        <v/>
      </c>
      <c r="S98" s="213" t="str">
        <f t="shared" si="21"/>
        <v/>
      </c>
      <c r="T98" s="214" t="str">
        <f t="shared" si="22"/>
        <v/>
      </c>
      <c r="U98" s="215" t="str">
        <f t="shared" si="23"/>
        <v/>
      </c>
      <c r="V98" s="216" t="str">
        <f t="shared" si="24"/>
        <v/>
      </c>
      <c r="W98" s="206"/>
      <c r="X98" s="207" t="str">
        <f t="shared" si="25"/>
        <v/>
      </c>
      <c r="Y98" s="208" t="str">
        <f t="shared" si="26"/>
        <v/>
      </c>
      <c r="Z98" s="209" t="str">
        <f t="shared" si="27"/>
        <v/>
      </c>
      <c r="AB98" s="250" t="str">
        <f t="shared" si="30"/>
        <v/>
      </c>
      <c r="AC98" s="250" t="str">
        <f t="shared" si="14"/>
        <v/>
      </c>
      <c r="AD98" s="250">
        <f t="shared" si="15"/>
        <v>429624</v>
      </c>
      <c r="AE98" s="250">
        <f t="shared" si="16"/>
        <v>429624</v>
      </c>
      <c r="AF98" s="251">
        <f t="shared" si="17"/>
        <v>0</v>
      </c>
    </row>
    <row r="99" spans="1:32" ht="23.25" x14ac:dyDescent="0.35">
      <c r="A99" s="93" t="str">
        <f t="shared" ref="A99:A110" si="31">IF(A49="","",A49)</f>
        <v/>
      </c>
      <c r="B99" s="211" t="str">
        <f t="shared" si="1"/>
        <v/>
      </c>
      <c r="C99" s="212" t="str">
        <f t="shared" si="2"/>
        <v/>
      </c>
      <c r="D99" s="23" t="str">
        <f t="shared" si="3"/>
        <v/>
      </c>
      <c r="E99" s="308">
        <v>0</v>
      </c>
      <c r="F99" s="24" t="str">
        <f t="shared" si="4"/>
        <v/>
      </c>
      <c r="G99" s="255" t="str">
        <f t="shared" si="29"/>
        <v/>
      </c>
      <c r="H99" s="25" t="str">
        <f t="shared" si="6"/>
        <v/>
      </c>
      <c r="I99" s="68" t="str">
        <f t="shared" si="28"/>
        <v/>
      </c>
      <c r="J99" s="37" t="str">
        <f t="shared" si="18"/>
        <v/>
      </c>
      <c r="K99" s="82" t="str">
        <f t="shared" ref="K99:K106" si="32">IF(OR(E49="",B49=""),"",ROUND(E49/B49,2))</f>
        <v/>
      </c>
      <c r="L99" s="83" t="str">
        <f t="shared" si="8"/>
        <v/>
      </c>
      <c r="M99" s="84" t="str">
        <f t="shared" si="9"/>
        <v/>
      </c>
      <c r="N99" s="85" t="str">
        <f t="shared" si="10"/>
        <v/>
      </c>
      <c r="O99" s="29" t="str">
        <f t="shared" si="11"/>
        <v/>
      </c>
      <c r="P99" s="32" t="str">
        <f t="shared" si="19"/>
        <v/>
      </c>
      <c r="Q99" s="33" t="str">
        <f t="shared" si="20"/>
        <v/>
      </c>
      <c r="R99" s="201" t="str">
        <f t="shared" si="12"/>
        <v/>
      </c>
      <c r="S99" s="213" t="str">
        <f t="shared" si="21"/>
        <v/>
      </c>
      <c r="T99" s="214" t="str">
        <f t="shared" si="22"/>
        <v/>
      </c>
      <c r="U99" s="215" t="str">
        <f t="shared" si="23"/>
        <v/>
      </c>
      <c r="V99" s="216" t="str">
        <f t="shared" si="24"/>
        <v/>
      </c>
      <c r="W99" s="206"/>
      <c r="X99" s="207" t="str">
        <f t="shared" si="25"/>
        <v/>
      </c>
      <c r="Y99" s="208" t="str">
        <f t="shared" si="26"/>
        <v/>
      </c>
      <c r="Z99" s="209" t="str">
        <f t="shared" si="27"/>
        <v/>
      </c>
      <c r="AB99" s="250" t="str">
        <f t="shared" ref="AB99:AB106" si="33">+IF(F49="","",IF(F49&gt;=37.38,4,IF(F49&gt;=35.68,3,IF(F49&gt;=33.98,2,IF(F49&gt;=32.28,1,0)))))</f>
        <v/>
      </c>
      <c r="AC99" s="250" t="str">
        <f t="shared" si="14"/>
        <v/>
      </c>
      <c r="AD99" s="250">
        <f t="shared" si="15"/>
        <v>429624</v>
      </c>
      <c r="AE99" s="250">
        <f t="shared" si="16"/>
        <v>429624</v>
      </c>
      <c r="AF99" s="251">
        <f t="shared" si="17"/>
        <v>0</v>
      </c>
    </row>
    <row r="100" spans="1:32" ht="23.25" x14ac:dyDescent="0.35">
      <c r="A100" s="93" t="str">
        <f t="shared" si="31"/>
        <v/>
      </c>
      <c r="B100" s="211" t="str">
        <f t="shared" si="1"/>
        <v/>
      </c>
      <c r="C100" s="212" t="str">
        <f t="shared" si="2"/>
        <v/>
      </c>
      <c r="D100" s="23" t="str">
        <f t="shared" si="3"/>
        <v/>
      </c>
      <c r="E100" s="308">
        <v>0</v>
      </c>
      <c r="F100" s="24" t="str">
        <f t="shared" si="4"/>
        <v/>
      </c>
      <c r="G100" s="255" t="str">
        <f t="shared" si="29"/>
        <v/>
      </c>
      <c r="H100" s="25" t="str">
        <f t="shared" si="6"/>
        <v/>
      </c>
      <c r="I100" s="68" t="str">
        <f t="shared" si="28"/>
        <v/>
      </c>
      <c r="J100" s="37" t="str">
        <f t="shared" si="18"/>
        <v/>
      </c>
      <c r="K100" s="82" t="str">
        <f t="shared" si="32"/>
        <v/>
      </c>
      <c r="L100" s="83" t="str">
        <f t="shared" si="8"/>
        <v/>
      </c>
      <c r="M100" s="84" t="str">
        <f t="shared" si="9"/>
        <v/>
      </c>
      <c r="N100" s="85" t="str">
        <f t="shared" si="10"/>
        <v/>
      </c>
      <c r="O100" s="29" t="str">
        <f t="shared" si="11"/>
        <v/>
      </c>
      <c r="P100" s="32" t="str">
        <f t="shared" si="19"/>
        <v/>
      </c>
      <c r="Q100" s="33" t="str">
        <f t="shared" si="20"/>
        <v/>
      </c>
      <c r="R100" s="201" t="str">
        <f t="shared" si="12"/>
        <v/>
      </c>
      <c r="S100" s="213" t="str">
        <f t="shared" si="21"/>
        <v/>
      </c>
      <c r="T100" s="214" t="str">
        <f t="shared" si="22"/>
        <v/>
      </c>
      <c r="U100" s="215" t="str">
        <f t="shared" si="23"/>
        <v/>
      </c>
      <c r="V100" s="216" t="str">
        <f t="shared" si="24"/>
        <v/>
      </c>
      <c r="W100" s="206"/>
      <c r="X100" s="207" t="str">
        <f t="shared" si="25"/>
        <v/>
      </c>
      <c r="Y100" s="208" t="str">
        <f t="shared" si="26"/>
        <v/>
      </c>
      <c r="Z100" s="209" t="str">
        <f t="shared" si="27"/>
        <v/>
      </c>
      <c r="AB100" s="250" t="str">
        <f t="shared" si="33"/>
        <v/>
      </c>
      <c r="AC100" s="250" t="str">
        <f t="shared" si="14"/>
        <v/>
      </c>
      <c r="AD100" s="250">
        <f t="shared" si="15"/>
        <v>429624</v>
      </c>
      <c r="AE100" s="250">
        <f t="shared" si="16"/>
        <v>429624</v>
      </c>
      <c r="AF100" s="251">
        <f t="shared" si="17"/>
        <v>0</v>
      </c>
    </row>
    <row r="101" spans="1:32" ht="23.25" x14ac:dyDescent="0.35">
      <c r="A101" s="93" t="str">
        <f t="shared" si="31"/>
        <v/>
      </c>
      <c r="B101" s="211" t="str">
        <f t="shared" si="1"/>
        <v/>
      </c>
      <c r="C101" s="212" t="str">
        <f t="shared" si="2"/>
        <v/>
      </c>
      <c r="D101" s="23" t="str">
        <f t="shared" si="3"/>
        <v/>
      </c>
      <c r="E101" s="308">
        <v>0</v>
      </c>
      <c r="F101" s="24" t="str">
        <f t="shared" si="4"/>
        <v/>
      </c>
      <c r="G101" s="255" t="str">
        <f t="shared" si="29"/>
        <v/>
      </c>
      <c r="H101" s="25" t="str">
        <f t="shared" si="6"/>
        <v/>
      </c>
      <c r="I101" s="68" t="str">
        <f t="shared" si="28"/>
        <v/>
      </c>
      <c r="J101" s="37" t="str">
        <f t="shared" si="18"/>
        <v/>
      </c>
      <c r="K101" s="82" t="str">
        <f t="shared" si="32"/>
        <v/>
      </c>
      <c r="L101" s="83" t="str">
        <f t="shared" si="8"/>
        <v/>
      </c>
      <c r="M101" s="84" t="str">
        <f t="shared" si="9"/>
        <v/>
      </c>
      <c r="N101" s="85" t="str">
        <f t="shared" si="10"/>
        <v/>
      </c>
      <c r="O101" s="29" t="str">
        <f t="shared" si="11"/>
        <v/>
      </c>
      <c r="P101" s="32" t="str">
        <f t="shared" si="19"/>
        <v/>
      </c>
      <c r="Q101" s="33" t="str">
        <f t="shared" si="20"/>
        <v/>
      </c>
      <c r="R101" s="201" t="str">
        <f t="shared" si="12"/>
        <v/>
      </c>
      <c r="S101" s="213" t="str">
        <f t="shared" si="21"/>
        <v/>
      </c>
      <c r="T101" s="214" t="str">
        <f t="shared" si="22"/>
        <v/>
      </c>
      <c r="U101" s="215" t="str">
        <f t="shared" si="23"/>
        <v/>
      </c>
      <c r="V101" s="216" t="str">
        <f t="shared" si="24"/>
        <v/>
      </c>
      <c r="W101" s="206"/>
      <c r="X101" s="207" t="str">
        <f t="shared" si="25"/>
        <v/>
      </c>
      <c r="Y101" s="208" t="str">
        <f t="shared" si="26"/>
        <v/>
      </c>
      <c r="Z101" s="209" t="str">
        <f t="shared" si="27"/>
        <v/>
      </c>
      <c r="AB101" s="250" t="str">
        <f t="shared" si="33"/>
        <v/>
      </c>
      <c r="AC101" s="250" t="str">
        <f t="shared" si="14"/>
        <v/>
      </c>
      <c r="AD101" s="250">
        <f t="shared" si="15"/>
        <v>429624</v>
      </c>
      <c r="AE101" s="250">
        <f t="shared" si="16"/>
        <v>429624</v>
      </c>
      <c r="AF101" s="251">
        <f t="shared" si="17"/>
        <v>0</v>
      </c>
    </row>
    <row r="102" spans="1:32" ht="23.25" x14ac:dyDescent="0.35">
      <c r="A102" s="93" t="str">
        <f t="shared" si="31"/>
        <v/>
      </c>
      <c r="B102" s="211" t="str">
        <f t="shared" si="1"/>
        <v/>
      </c>
      <c r="C102" s="212" t="str">
        <f t="shared" si="2"/>
        <v/>
      </c>
      <c r="D102" s="23" t="str">
        <f t="shared" si="3"/>
        <v/>
      </c>
      <c r="E102" s="308">
        <v>0</v>
      </c>
      <c r="F102" s="24" t="str">
        <f t="shared" si="4"/>
        <v/>
      </c>
      <c r="G102" s="255" t="str">
        <f t="shared" si="29"/>
        <v/>
      </c>
      <c r="H102" s="25" t="str">
        <f t="shared" si="6"/>
        <v/>
      </c>
      <c r="I102" s="68" t="str">
        <f t="shared" si="28"/>
        <v/>
      </c>
      <c r="J102" s="37" t="str">
        <f t="shared" si="18"/>
        <v/>
      </c>
      <c r="K102" s="82" t="str">
        <f t="shared" si="32"/>
        <v/>
      </c>
      <c r="L102" s="83" t="str">
        <f t="shared" si="8"/>
        <v/>
      </c>
      <c r="M102" s="84" t="str">
        <f t="shared" si="9"/>
        <v/>
      </c>
      <c r="N102" s="85" t="str">
        <f t="shared" si="10"/>
        <v/>
      </c>
      <c r="O102" s="29" t="str">
        <f t="shared" si="11"/>
        <v/>
      </c>
      <c r="P102" s="32" t="str">
        <f t="shared" si="19"/>
        <v/>
      </c>
      <c r="Q102" s="33" t="str">
        <f t="shared" si="20"/>
        <v/>
      </c>
      <c r="R102" s="201" t="str">
        <f t="shared" si="12"/>
        <v/>
      </c>
      <c r="S102" s="213" t="str">
        <f t="shared" si="21"/>
        <v/>
      </c>
      <c r="T102" s="214" t="str">
        <f t="shared" si="22"/>
        <v/>
      </c>
      <c r="U102" s="215" t="str">
        <f t="shared" si="23"/>
        <v/>
      </c>
      <c r="V102" s="216" t="str">
        <f t="shared" si="24"/>
        <v/>
      </c>
      <c r="W102" s="206"/>
      <c r="X102" s="207" t="str">
        <f t="shared" si="25"/>
        <v/>
      </c>
      <c r="Y102" s="208" t="str">
        <f t="shared" si="26"/>
        <v/>
      </c>
      <c r="Z102" s="209" t="str">
        <f t="shared" si="27"/>
        <v/>
      </c>
      <c r="AB102" s="250" t="str">
        <f t="shared" si="33"/>
        <v/>
      </c>
      <c r="AC102" s="250" t="str">
        <f t="shared" si="14"/>
        <v/>
      </c>
      <c r="AD102" s="250">
        <f t="shared" si="15"/>
        <v>429624</v>
      </c>
      <c r="AE102" s="250">
        <f t="shared" si="16"/>
        <v>429624</v>
      </c>
      <c r="AF102" s="251">
        <f t="shared" si="17"/>
        <v>0</v>
      </c>
    </row>
    <row r="103" spans="1:32" ht="23.25" x14ac:dyDescent="0.35">
      <c r="A103" s="93" t="str">
        <f t="shared" si="31"/>
        <v/>
      </c>
      <c r="B103" s="211" t="str">
        <f t="shared" si="1"/>
        <v/>
      </c>
      <c r="C103" s="212" t="str">
        <f t="shared" si="2"/>
        <v/>
      </c>
      <c r="D103" s="23" t="str">
        <f t="shared" si="3"/>
        <v/>
      </c>
      <c r="E103" s="308">
        <v>0</v>
      </c>
      <c r="F103" s="24" t="str">
        <f t="shared" si="4"/>
        <v/>
      </c>
      <c r="G103" s="255" t="str">
        <f t="shared" si="29"/>
        <v/>
      </c>
      <c r="H103" s="25" t="str">
        <f t="shared" si="6"/>
        <v/>
      </c>
      <c r="I103" s="68" t="str">
        <f t="shared" si="28"/>
        <v/>
      </c>
      <c r="J103" s="37" t="str">
        <f t="shared" si="18"/>
        <v/>
      </c>
      <c r="K103" s="82" t="str">
        <f t="shared" si="32"/>
        <v/>
      </c>
      <c r="L103" s="83" t="str">
        <f t="shared" si="8"/>
        <v/>
      </c>
      <c r="M103" s="84" t="str">
        <f t="shared" si="9"/>
        <v/>
      </c>
      <c r="N103" s="85" t="str">
        <f t="shared" si="10"/>
        <v/>
      </c>
      <c r="O103" s="29" t="str">
        <f t="shared" si="11"/>
        <v/>
      </c>
      <c r="P103" s="32" t="str">
        <f t="shared" si="19"/>
        <v/>
      </c>
      <c r="Q103" s="33" t="str">
        <f t="shared" si="20"/>
        <v/>
      </c>
      <c r="R103" s="201" t="str">
        <f t="shared" si="12"/>
        <v/>
      </c>
      <c r="S103" s="213" t="str">
        <f t="shared" si="21"/>
        <v/>
      </c>
      <c r="T103" s="214" t="str">
        <f t="shared" si="22"/>
        <v/>
      </c>
      <c r="U103" s="215" t="str">
        <f t="shared" si="23"/>
        <v/>
      </c>
      <c r="V103" s="216" t="str">
        <f t="shared" si="24"/>
        <v/>
      </c>
      <c r="W103" s="206"/>
      <c r="X103" s="207" t="str">
        <f t="shared" si="25"/>
        <v/>
      </c>
      <c r="Y103" s="208" t="str">
        <f t="shared" si="26"/>
        <v/>
      </c>
      <c r="Z103" s="209" t="str">
        <f t="shared" si="27"/>
        <v/>
      </c>
      <c r="AB103" s="250" t="str">
        <f t="shared" si="33"/>
        <v/>
      </c>
      <c r="AC103" s="250" t="str">
        <f t="shared" si="14"/>
        <v/>
      </c>
      <c r="AD103" s="250">
        <f t="shared" si="15"/>
        <v>429624</v>
      </c>
      <c r="AE103" s="250">
        <f t="shared" si="16"/>
        <v>429624</v>
      </c>
      <c r="AF103" s="251">
        <f t="shared" si="17"/>
        <v>0</v>
      </c>
    </row>
    <row r="104" spans="1:32" ht="23.25" x14ac:dyDescent="0.35">
      <c r="A104" s="93" t="str">
        <f t="shared" si="31"/>
        <v/>
      </c>
      <c r="B104" s="211" t="str">
        <f t="shared" si="1"/>
        <v/>
      </c>
      <c r="C104" s="212" t="str">
        <f t="shared" si="2"/>
        <v/>
      </c>
      <c r="D104" s="23" t="str">
        <f t="shared" si="3"/>
        <v/>
      </c>
      <c r="E104" s="308">
        <v>0</v>
      </c>
      <c r="F104" s="24" t="str">
        <f>+IF(C104="","",IF(E104&gt;0,ROUND(C104*E104,-2),ROUND(C104*D104,-2)))</f>
        <v/>
      </c>
      <c r="G104" s="255" t="str">
        <f t="shared" si="29"/>
        <v/>
      </c>
      <c r="H104" s="25" t="str">
        <f t="shared" si="6"/>
        <v/>
      </c>
      <c r="I104" s="68" t="str">
        <f>+IF(F104="","",ROUND((F104/($D$8*($D$9+$D$10)/2)/3600),2))</f>
        <v/>
      </c>
      <c r="J104" s="37" t="str">
        <f t="shared" si="18"/>
        <v/>
      </c>
      <c r="K104" s="82" t="str">
        <f t="shared" si="32"/>
        <v/>
      </c>
      <c r="L104" s="83" t="str">
        <f t="shared" si="8"/>
        <v/>
      </c>
      <c r="M104" s="84" t="str">
        <f t="shared" si="9"/>
        <v/>
      </c>
      <c r="N104" s="85" t="str">
        <f t="shared" si="10"/>
        <v/>
      </c>
      <c r="O104" s="29" t="str">
        <f t="shared" si="11"/>
        <v/>
      </c>
      <c r="P104" s="32" t="str">
        <f>+IF(A104="","",F104*0.00334)</f>
        <v/>
      </c>
      <c r="Q104" s="33" t="str">
        <f>+IF(A104="","",F104*0.00631)</f>
        <v/>
      </c>
      <c r="R104" s="201" t="str">
        <f t="shared" si="12"/>
        <v/>
      </c>
      <c r="S104" s="213" t="str">
        <f>+IF(H104="","",H104*5)</f>
        <v/>
      </c>
      <c r="T104" s="214" t="str">
        <f>IF(R104="","",+R104+S104)</f>
        <v/>
      </c>
      <c r="U104" s="215" t="str">
        <f>+IF(S104="","",S104*2)</f>
        <v/>
      </c>
      <c r="V104" s="216" t="str">
        <f>+IF(R104="","",U104+R104)</f>
        <v/>
      </c>
      <c r="W104" s="206"/>
      <c r="X104" s="207" t="str">
        <f t="shared" si="25"/>
        <v/>
      </c>
      <c r="Y104" s="208" t="str">
        <f t="shared" si="26"/>
        <v/>
      </c>
      <c r="Z104" s="209" t="str">
        <f t="shared" si="27"/>
        <v/>
      </c>
      <c r="AB104" s="250" t="str">
        <f t="shared" si="33"/>
        <v/>
      </c>
      <c r="AC104" s="250" t="str">
        <f t="shared" si="14"/>
        <v/>
      </c>
      <c r="AD104" s="250">
        <f t="shared" si="15"/>
        <v>429624</v>
      </c>
      <c r="AE104" s="250">
        <f t="shared" si="16"/>
        <v>429624</v>
      </c>
      <c r="AF104" s="251">
        <f t="shared" si="17"/>
        <v>0</v>
      </c>
    </row>
    <row r="105" spans="1:32" ht="23.25" x14ac:dyDescent="0.35">
      <c r="A105" s="93" t="str">
        <f t="shared" si="31"/>
        <v/>
      </c>
      <c r="B105" s="211" t="str">
        <f t="shared" si="1"/>
        <v/>
      </c>
      <c r="C105" s="212" t="str">
        <f t="shared" si="2"/>
        <v/>
      </c>
      <c r="D105" s="23" t="str">
        <f t="shared" si="3"/>
        <v/>
      </c>
      <c r="E105" s="308">
        <v>0</v>
      </c>
      <c r="F105" s="24" t="str">
        <f>+IF(C105="","",IF(E105&gt;0,ROUND(C105*E105,-2),ROUND(C105*D105,-2)))</f>
        <v/>
      </c>
      <c r="G105" s="255" t="str">
        <f t="shared" si="29"/>
        <v/>
      </c>
      <c r="H105" s="25" t="str">
        <f t="shared" si="6"/>
        <v/>
      </c>
      <c r="I105" s="68" t="str">
        <f>+IF(F105="","",ROUND((F105/($D$8*($D$9+$D$10)/2)/3600),2))</f>
        <v/>
      </c>
      <c r="J105" s="37" t="str">
        <f t="shared" si="18"/>
        <v/>
      </c>
      <c r="K105" s="82" t="str">
        <f t="shared" si="32"/>
        <v/>
      </c>
      <c r="L105" s="83" t="str">
        <f t="shared" si="8"/>
        <v/>
      </c>
      <c r="M105" s="84" t="str">
        <f t="shared" si="9"/>
        <v/>
      </c>
      <c r="N105" s="85" t="str">
        <f t="shared" si="10"/>
        <v/>
      </c>
      <c r="O105" s="29" t="str">
        <f t="shared" si="11"/>
        <v/>
      </c>
      <c r="P105" s="32" t="str">
        <f>+IF(A105="","",F105*0.00334)</f>
        <v/>
      </c>
      <c r="Q105" s="33" t="str">
        <f>+IF(A105="","",F105*0.00631)</f>
        <v/>
      </c>
      <c r="R105" s="201" t="str">
        <f t="shared" si="12"/>
        <v/>
      </c>
      <c r="S105" s="213" t="str">
        <f>+IF(H105="","",H105*5)</f>
        <v/>
      </c>
      <c r="T105" s="214" t="str">
        <f>IF(R105="","",+R105+S105)</f>
        <v/>
      </c>
      <c r="U105" s="215" t="str">
        <f>+IF(S105="","",S105*2)</f>
        <v/>
      </c>
      <c r="V105" s="216" t="str">
        <f>+IF(R105="","",U105+R105)</f>
        <v/>
      </c>
      <c r="W105" s="206"/>
      <c r="X105" s="207" t="str">
        <f t="shared" si="25"/>
        <v/>
      </c>
      <c r="Y105" s="208" t="str">
        <f t="shared" si="26"/>
        <v/>
      </c>
      <c r="Z105" s="209" t="str">
        <f t="shared" si="27"/>
        <v/>
      </c>
      <c r="AB105" s="250" t="str">
        <f t="shared" si="33"/>
        <v/>
      </c>
      <c r="AC105" s="250" t="str">
        <f t="shared" si="14"/>
        <v/>
      </c>
      <c r="AD105" s="250">
        <f t="shared" si="15"/>
        <v>429624</v>
      </c>
      <c r="AE105" s="250">
        <f t="shared" si="16"/>
        <v>429624</v>
      </c>
      <c r="AF105" s="251">
        <f t="shared" si="17"/>
        <v>0</v>
      </c>
    </row>
    <row r="106" spans="1:32" ht="23.25" x14ac:dyDescent="0.35">
      <c r="A106" s="93" t="str">
        <f t="shared" si="31"/>
        <v/>
      </c>
      <c r="B106" s="211" t="str">
        <f t="shared" si="1"/>
        <v/>
      </c>
      <c r="C106" s="212" t="str">
        <f t="shared" si="2"/>
        <v/>
      </c>
      <c r="D106" s="23" t="str">
        <f t="shared" si="3"/>
        <v/>
      </c>
      <c r="E106" s="308">
        <v>0</v>
      </c>
      <c r="F106" s="24" t="str">
        <f t="shared" si="4"/>
        <v/>
      </c>
      <c r="G106" s="255" t="str">
        <f t="shared" si="29"/>
        <v/>
      </c>
      <c r="H106" s="25" t="str">
        <f t="shared" si="6"/>
        <v/>
      </c>
      <c r="I106" s="68" t="str">
        <f t="shared" si="28"/>
        <v/>
      </c>
      <c r="J106" s="37" t="str">
        <f t="shared" si="18"/>
        <v/>
      </c>
      <c r="K106" s="82" t="str">
        <f t="shared" si="32"/>
        <v/>
      </c>
      <c r="L106" s="83" t="str">
        <f t="shared" si="8"/>
        <v/>
      </c>
      <c r="M106" s="84" t="str">
        <f t="shared" si="9"/>
        <v/>
      </c>
      <c r="N106" s="85" t="str">
        <f t="shared" si="10"/>
        <v/>
      </c>
      <c r="O106" s="29" t="str">
        <f t="shared" si="11"/>
        <v/>
      </c>
      <c r="P106" s="32" t="str">
        <f t="shared" si="19"/>
        <v/>
      </c>
      <c r="Q106" s="33" t="str">
        <f t="shared" si="20"/>
        <v/>
      </c>
      <c r="R106" s="201" t="str">
        <f t="shared" si="12"/>
        <v/>
      </c>
      <c r="S106" s="213" t="str">
        <f t="shared" si="21"/>
        <v/>
      </c>
      <c r="T106" s="214" t="str">
        <f t="shared" si="22"/>
        <v/>
      </c>
      <c r="U106" s="215" t="str">
        <f t="shared" si="23"/>
        <v/>
      </c>
      <c r="V106" s="216" t="str">
        <f t="shared" si="24"/>
        <v/>
      </c>
      <c r="W106" s="206"/>
      <c r="X106" s="207" t="str">
        <f t="shared" si="25"/>
        <v/>
      </c>
      <c r="Y106" s="208" t="str">
        <f t="shared" si="26"/>
        <v/>
      </c>
      <c r="Z106" s="209" t="str">
        <f t="shared" si="27"/>
        <v/>
      </c>
      <c r="AB106" s="250" t="str">
        <f t="shared" si="33"/>
        <v/>
      </c>
      <c r="AC106" s="250" t="str">
        <f t="shared" si="14"/>
        <v/>
      </c>
      <c r="AD106" s="250">
        <f t="shared" si="15"/>
        <v>429624</v>
      </c>
      <c r="AE106" s="250">
        <f t="shared" si="16"/>
        <v>429624</v>
      </c>
      <c r="AF106" s="251">
        <f t="shared" si="17"/>
        <v>0</v>
      </c>
    </row>
    <row r="107" spans="1:32" ht="23.25" x14ac:dyDescent="0.35">
      <c r="A107" s="95" t="str">
        <f t="shared" si="31"/>
        <v/>
      </c>
      <c r="B107" s="217" t="str">
        <f t="shared" si="1"/>
        <v/>
      </c>
      <c r="C107" s="218" t="str">
        <f t="shared" si="2"/>
        <v/>
      </c>
      <c r="D107" s="96" t="str">
        <f t="shared" si="3"/>
        <v/>
      </c>
      <c r="E107" s="309">
        <v>0</v>
      </c>
      <c r="F107" s="97" t="str">
        <f>+IF(C107="","",IF(E107&gt;0,ROUND(C107*E107,-2),ROUND(C107*D107,-2)))</f>
        <v/>
      </c>
      <c r="G107" s="255" t="str">
        <f t="shared" si="29"/>
        <v/>
      </c>
      <c r="H107" s="98" t="str">
        <f t="shared" si="6"/>
        <v/>
      </c>
      <c r="I107" s="99" t="str">
        <f>+IF(F107="","",ROUND((F107/($D$8*($D$9+$D$10)/2)/3600),2))</f>
        <v/>
      </c>
      <c r="J107" s="100" t="str">
        <f t="shared" si="18"/>
        <v/>
      </c>
      <c r="K107" s="101" t="str">
        <f>IF(OR(E57="",B57=""),"",ROUND(E57/B57,2))</f>
        <v/>
      </c>
      <c r="L107" s="102" t="str">
        <f t="shared" si="8"/>
        <v/>
      </c>
      <c r="M107" s="103" t="str">
        <f t="shared" si="9"/>
        <v/>
      </c>
      <c r="N107" s="104" t="str">
        <f t="shared" si="10"/>
        <v/>
      </c>
      <c r="O107" s="105" t="str">
        <f t="shared" si="11"/>
        <v/>
      </c>
      <c r="P107" s="106" t="str">
        <f>+IF(A107="","",F107*0.00334)</f>
        <v/>
      </c>
      <c r="Q107" s="107" t="str">
        <f>+IF(A107="","",F107*0.00631)</f>
        <v/>
      </c>
      <c r="R107" s="219" t="str">
        <f t="shared" si="12"/>
        <v/>
      </c>
      <c r="S107" s="220" t="str">
        <f>+IF(H107="","",H107*5)</f>
        <v/>
      </c>
      <c r="T107" s="221" t="str">
        <f>IF(R107="","",+R107+S107)</f>
        <v/>
      </c>
      <c r="U107" s="222" t="str">
        <f>+IF(S107="","",S107*2)</f>
        <v/>
      </c>
      <c r="V107" s="223" t="str">
        <f>+IF(R107="","",U107+R107)</f>
        <v/>
      </c>
      <c r="W107" s="206"/>
      <c r="X107" s="207" t="str">
        <f t="shared" si="25"/>
        <v/>
      </c>
      <c r="Y107" s="208" t="str">
        <f t="shared" si="26"/>
        <v/>
      </c>
      <c r="Z107" s="209" t="str">
        <f t="shared" si="27"/>
        <v/>
      </c>
      <c r="AB107" s="250" t="str">
        <f>+IF(F57="","",IF(F57&gt;=37.38,4,IF(F57&gt;=35.68,3,IF(F57&gt;=33.98,2,IF(F57&gt;=32.28,1,0)))))</f>
        <v/>
      </c>
      <c r="AC107" s="250" t="str">
        <f t="shared" si="14"/>
        <v/>
      </c>
      <c r="AD107" s="250">
        <f t="shared" si="15"/>
        <v>429624</v>
      </c>
      <c r="AE107" s="250">
        <f t="shared" si="16"/>
        <v>429624</v>
      </c>
      <c r="AF107" s="251">
        <f>IF($H$9&gt;3.556,D57,IF($H$9&gt;=3.048,C57, IF($H$9&gt;=2.286,B57,IF($H$9&gt;=1.524,B57,B57))))</f>
        <v>0</v>
      </c>
    </row>
    <row r="108" spans="1:32" ht="23.25" x14ac:dyDescent="0.35">
      <c r="A108" s="95" t="str">
        <f t="shared" si="31"/>
        <v/>
      </c>
      <c r="B108" s="217" t="str">
        <f t="shared" si="1"/>
        <v/>
      </c>
      <c r="C108" s="218" t="str">
        <f t="shared" si="2"/>
        <v/>
      </c>
      <c r="D108" s="96" t="str">
        <f t="shared" si="3"/>
        <v/>
      </c>
      <c r="E108" s="309">
        <v>0</v>
      </c>
      <c r="F108" s="97" t="str">
        <f>+IF(C108="","",IF(E108&gt;0,ROUND(C108*E108,-2),ROUND(C108*D108,-2)))</f>
        <v/>
      </c>
      <c r="G108" s="255" t="str">
        <f t="shared" si="29"/>
        <v/>
      </c>
      <c r="H108" s="98" t="str">
        <f t="shared" si="6"/>
        <v/>
      </c>
      <c r="I108" s="99" t="str">
        <f>+IF(F108="","",ROUND((F108/($D$8*($D$9+$D$10)/2)/3600),2))</f>
        <v/>
      </c>
      <c r="J108" s="100" t="str">
        <f t="shared" si="18"/>
        <v/>
      </c>
      <c r="K108" s="101" t="str">
        <f>IF(OR(E58="",B58=""),"",ROUND(E58/B58,2))</f>
        <v/>
      </c>
      <c r="L108" s="102" t="str">
        <f t="shared" si="8"/>
        <v/>
      </c>
      <c r="M108" s="103" t="str">
        <f t="shared" si="9"/>
        <v/>
      </c>
      <c r="N108" s="104" t="str">
        <f t="shared" si="10"/>
        <v/>
      </c>
      <c r="O108" s="105" t="str">
        <f t="shared" si="11"/>
        <v/>
      </c>
      <c r="P108" s="106" t="str">
        <f>+IF(A108="","",F108*0.00334)</f>
        <v/>
      </c>
      <c r="Q108" s="107" t="str">
        <f>+IF(A108="","",F108*0.00631)</f>
        <v/>
      </c>
      <c r="R108" s="219" t="str">
        <f t="shared" si="12"/>
        <v/>
      </c>
      <c r="S108" s="220" t="str">
        <f>+IF(H108="","",H108*5)</f>
        <v/>
      </c>
      <c r="T108" s="221" t="str">
        <f>IF(R108="","",+R108+S108)</f>
        <v/>
      </c>
      <c r="U108" s="222" t="str">
        <f>+IF(S108="","",S108*2)</f>
        <v/>
      </c>
      <c r="V108" s="223" t="str">
        <f>+IF(R108="","",U108+R108)</f>
        <v/>
      </c>
      <c r="W108" s="206"/>
      <c r="X108" s="207" t="str">
        <f t="shared" si="25"/>
        <v/>
      </c>
      <c r="Y108" s="208" t="str">
        <f t="shared" si="26"/>
        <v/>
      </c>
      <c r="Z108" s="209" t="str">
        <f t="shared" si="27"/>
        <v/>
      </c>
      <c r="AB108" s="250" t="str">
        <f>+IF(F58="","",IF(F58&gt;=37.38,4,IF(F58&gt;=35.68,3,IF(F58&gt;=33.98,2,IF(F58&gt;=32.28,1,0)))))</f>
        <v/>
      </c>
      <c r="AC108" s="250" t="str">
        <f t="shared" si="14"/>
        <v/>
      </c>
      <c r="AD108" s="250">
        <f t="shared" si="15"/>
        <v>429624</v>
      </c>
      <c r="AE108" s="250">
        <f t="shared" si="16"/>
        <v>429624</v>
      </c>
      <c r="AF108" s="251">
        <f>IF($H$9&gt;3.556,D58,IF($H$9&gt;=3.048,C58, IF($H$9&gt;=2.286,B58,IF($H$9&gt;=1.524,B58,B58))))</f>
        <v>0</v>
      </c>
    </row>
    <row r="109" spans="1:32" ht="23.25" x14ac:dyDescent="0.35">
      <c r="A109" s="95" t="str">
        <f t="shared" si="31"/>
        <v/>
      </c>
      <c r="B109" s="217" t="str">
        <f t="shared" si="1"/>
        <v/>
      </c>
      <c r="C109" s="218" t="str">
        <f t="shared" si="2"/>
        <v/>
      </c>
      <c r="D109" s="96" t="str">
        <f t="shared" si="3"/>
        <v/>
      </c>
      <c r="E109" s="309">
        <v>0</v>
      </c>
      <c r="F109" s="97" t="str">
        <f>+IF(C109="","",IF(E109&gt;0,ROUND(C109*E109,-2),ROUND(C109*D109,-2)))</f>
        <v/>
      </c>
      <c r="G109" s="255" t="str">
        <f t="shared" si="29"/>
        <v/>
      </c>
      <c r="H109" s="98" t="str">
        <f t="shared" si="6"/>
        <v/>
      </c>
      <c r="I109" s="99" t="str">
        <f>+IF(F109="","",ROUND((F109/($D$8*($D$9+$D$10)/2)/3600),2))</f>
        <v/>
      </c>
      <c r="J109" s="100" t="str">
        <f t="shared" si="18"/>
        <v/>
      </c>
      <c r="K109" s="101" t="str">
        <f>IF(OR(E59="",B59=""),"",ROUND(E59/B59,2))</f>
        <v/>
      </c>
      <c r="L109" s="102" t="str">
        <f t="shared" si="8"/>
        <v/>
      </c>
      <c r="M109" s="103" t="str">
        <f t="shared" si="9"/>
        <v/>
      </c>
      <c r="N109" s="104" t="str">
        <f t="shared" si="10"/>
        <v/>
      </c>
      <c r="O109" s="105" t="str">
        <f t="shared" si="11"/>
        <v/>
      </c>
      <c r="P109" s="106" t="str">
        <f>+IF(A109="","",F109*0.00334)</f>
        <v/>
      </c>
      <c r="Q109" s="107" t="str">
        <f>+IF(A109="","",F109*0.00631)</f>
        <v/>
      </c>
      <c r="R109" s="219" t="str">
        <f t="shared" si="12"/>
        <v/>
      </c>
      <c r="S109" s="220" t="str">
        <f>+IF(H109="","",H109*5)</f>
        <v/>
      </c>
      <c r="T109" s="221" t="str">
        <f>IF(R109="","",+R109+S109)</f>
        <v/>
      </c>
      <c r="U109" s="222" t="str">
        <f>+IF(S109="","",S109*2)</f>
        <v/>
      </c>
      <c r="V109" s="223" t="str">
        <f>+IF(R109="","",U109+R109)</f>
        <v/>
      </c>
      <c r="W109" s="206"/>
      <c r="X109" s="207" t="str">
        <f t="shared" si="25"/>
        <v/>
      </c>
      <c r="Y109" s="208" t="str">
        <f t="shared" si="26"/>
        <v/>
      </c>
      <c r="Z109" s="209" t="str">
        <f t="shared" si="27"/>
        <v/>
      </c>
      <c r="AB109" s="250" t="str">
        <f>+IF(F59="","",IF(F59&gt;=37.38,4,IF(F59&gt;=35.68,3,IF(F59&gt;=33.98,2,IF(F59&gt;=32.28,1,0)))))</f>
        <v/>
      </c>
      <c r="AC109" s="250" t="str">
        <f t="shared" si="14"/>
        <v/>
      </c>
      <c r="AD109" s="250">
        <f t="shared" si="15"/>
        <v>429624</v>
      </c>
      <c r="AE109" s="250">
        <f t="shared" si="16"/>
        <v>429624</v>
      </c>
      <c r="AF109" s="251">
        <f>IF($H$9&gt;3.556,D59,IF($H$9&gt;=3.048,C59, IF($H$9&gt;=2.286,B59,IF($H$9&gt;=1.524,B59,B59))))</f>
        <v>0</v>
      </c>
    </row>
    <row r="110" spans="1:32" ht="24" thickBot="1" x14ac:dyDescent="0.4">
      <c r="A110" s="94" t="str">
        <f t="shared" si="31"/>
        <v/>
      </c>
      <c r="B110" s="224" t="str">
        <f t="shared" si="1"/>
        <v/>
      </c>
      <c r="C110" s="225" t="str">
        <f t="shared" si="2"/>
        <v/>
      </c>
      <c r="D110" s="26" t="str">
        <f t="shared" si="3"/>
        <v/>
      </c>
      <c r="E110" s="310">
        <v>0</v>
      </c>
      <c r="F110" s="27" t="str">
        <f>+IF(C110="","",IF(E110&gt;0,ROUND(C110*E110,-2),ROUND(C110*D110,-2)))</f>
        <v/>
      </c>
      <c r="G110" s="257" t="str">
        <f t="shared" si="29"/>
        <v/>
      </c>
      <c r="H110" s="28" t="str">
        <f t="shared" si="6"/>
        <v/>
      </c>
      <c r="I110" s="69" t="str">
        <f>+IF(F110="","",ROUND((F110/($D$8*($D$9+$D$10)/2)/3600),2))</f>
        <v/>
      </c>
      <c r="J110" s="38" t="str">
        <f t="shared" si="18"/>
        <v/>
      </c>
      <c r="K110" s="86" t="str">
        <f>IF(OR(E60="",B60=""),"",ROUND(E60/B60,2))</f>
        <v/>
      </c>
      <c r="L110" s="87" t="str">
        <f t="shared" si="8"/>
        <v/>
      </c>
      <c r="M110" s="88" t="str">
        <f t="shared" si="9"/>
        <v/>
      </c>
      <c r="N110" s="89" t="str">
        <f t="shared" si="10"/>
        <v/>
      </c>
      <c r="O110" s="57" t="str">
        <f t="shared" si="11"/>
        <v/>
      </c>
      <c r="P110" s="34" t="str">
        <f>+IF(A110="","",F110*0.00334)</f>
        <v/>
      </c>
      <c r="Q110" s="35" t="str">
        <f>+IF(A110="","",F110*0.00631)</f>
        <v/>
      </c>
      <c r="R110" s="226" t="str">
        <f t="shared" si="12"/>
        <v/>
      </c>
      <c r="S110" s="227" t="str">
        <f>+IF(H110="","",H110*5)</f>
        <v/>
      </c>
      <c r="T110" s="228" t="str">
        <f>IF(R110="","",+R110+S110)</f>
        <v/>
      </c>
      <c r="U110" s="229" t="str">
        <f>+IF(S110="","",S110*2)</f>
        <v/>
      </c>
      <c r="V110" s="230" t="str">
        <f>+IF(R110="","",U110+R110)</f>
        <v/>
      </c>
      <c r="W110" s="206"/>
      <c r="X110" s="261" t="str">
        <f t="shared" si="25"/>
        <v/>
      </c>
      <c r="Y110" s="262" t="str">
        <f t="shared" si="26"/>
        <v/>
      </c>
      <c r="Z110" s="263" t="str">
        <f t="shared" si="27"/>
        <v/>
      </c>
      <c r="AB110" s="250" t="str">
        <f>+IF(F60="","",IF(F60&gt;=37.38,4,IF(F60&gt;=35.68,3,IF(F60&gt;=33.98,2,IF(F60&gt;=32.28,1,0)))))</f>
        <v/>
      </c>
      <c r="AC110" s="250" t="str">
        <f t="shared" si="14"/>
        <v/>
      </c>
      <c r="AD110" s="250">
        <f t="shared" si="15"/>
        <v>429624</v>
      </c>
      <c r="AE110" s="250">
        <f t="shared" si="16"/>
        <v>429624</v>
      </c>
      <c r="AF110" s="251">
        <f>IF($H$9&gt;3.556,D60,IF($H$9&gt;=3.048,C60, IF($H$9&gt;=2.286,B60,IF($H$9&gt;=1.524,B60,B60))))</f>
        <v>0</v>
      </c>
    </row>
    <row r="111" spans="1:32" ht="23.25" x14ac:dyDescent="0.35">
      <c r="A111" s="66"/>
      <c r="B111" s="231"/>
      <c r="C111" s="232"/>
      <c r="D111" s="51"/>
      <c r="E111" s="75"/>
      <c r="F111" s="52"/>
      <c r="G111" s="53"/>
      <c r="H111" s="76"/>
      <c r="I111" s="77"/>
      <c r="J111" s="233"/>
      <c r="K111" s="77"/>
      <c r="L111" s="234"/>
      <c r="M111" s="77"/>
      <c r="N111" s="54"/>
      <c r="O111" s="55"/>
      <c r="P111" s="56"/>
      <c r="Q111" s="235"/>
      <c r="R111" s="236"/>
      <c r="S111" s="237"/>
      <c r="T111" s="235"/>
      <c r="U111" s="235"/>
      <c r="V111" s="206"/>
      <c r="AB111" s="210"/>
      <c r="AC111" s="246"/>
      <c r="AD111" s="246"/>
      <c r="AE111" s="247"/>
    </row>
  </sheetData>
  <sheetProtection selectLockedCells="1"/>
  <mergeCells count="12">
    <mergeCell ref="A66:A67"/>
    <mergeCell ref="O64:Q65"/>
    <mergeCell ref="B16:E16"/>
    <mergeCell ref="H16:I17"/>
    <mergeCell ref="K64:N65"/>
    <mergeCell ref="A64:A65"/>
    <mergeCell ref="R64:V65"/>
    <mergeCell ref="X64:Z65"/>
    <mergeCell ref="U66:V66"/>
    <mergeCell ref="S66:T66"/>
    <mergeCell ref="J2:M3"/>
    <mergeCell ref="J10:M10"/>
  </mergeCells>
  <phoneticPr fontId="24" type="noConversion"/>
  <conditionalFormatting sqref="M68:N110">
    <cfRule type="expression" dxfId="22" priority="23" stopIfTrue="1">
      <formula>IF($AB68=0,1,0)</formula>
    </cfRule>
    <cfRule type="expression" dxfId="21" priority="24" stopIfTrue="1">
      <formula>IF($AB68=1,1,0)</formula>
    </cfRule>
    <cfRule type="expression" dxfId="20" priority="25" stopIfTrue="1">
      <formula>IF(OR($AB68=2,$AB68=3,$AB68=4),1,0)</formula>
    </cfRule>
  </conditionalFormatting>
  <conditionalFormatting sqref="L68:L110">
    <cfRule type="expression" dxfId="19" priority="26" stopIfTrue="1">
      <formula>IF($AC68=0,1,0)</formula>
    </cfRule>
    <cfRule type="expression" dxfId="18" priority="27" stopIfTrue="1">
      <formula>IF($AC68=1,1,0)</formula>
    </cfRule>
    <cfRule type="expression" dxfId="17" priority="28" stopIfTrue="1">
      <formula>IF(OR($AC68=2,$AC68=3,$AC68=4),1,0)</formula>
    </cfRule>
  </conditionalFormatting>
  <conditionalFormatting sqref="H111 I68:I110">
    <cfRule type="cellIs" dxfId="16" priority="13" stopIfTrue="1" operator="greaterThanOrEqual">
      <formula>2.54</formula>
    </cfRule>
    <cfRule type="cellIs" dxfId="15" priority="14" stopIfTrue="1" operator="between">
      <formula>2.286</formula>
      <formula>2.539</formula>
    </cfRule>
    <cfRule type="cellIs" dxfId="14" priority="15" stopIfTrue="1" operator="between">
      <formula>2.032</formula>
      <formula>2.285</formula>
    </cfRule>
  </conditionalFormatting>
  <conditionalFormatting sqref="K68:K110">
    <cfRule type="cellIs" dxfId="13" priority="39" stopIfTrue="1" operator="between">
      <formula>0.721</formula>
      <formula>1.1</formula>
    </cfRule>
    <cfRule type="cellIs" dxfId="12" priority="40" stopIfTrue="1" operator="between">
      <formula>0.7</formula>
      <formula>0.72</formula>
    </cfRule>
    <cfRule type="cellIs" dxfId="11" priority="41" stopIfTrue="1" operator="lessThanOrEqual">
      <formula>0.72</formula>
    </cfRule>
  </conditionalFormatting>
  <conditionalFormatting sqref="E68:E111">
    <cfRule type="cellIs" dxfId="10" priority="81" stopIfTrue="1" operator="notEqual">
      <formula>0</formula>
    </cfRule>
  </conditionalFormatting>
  <conditionalFormatting sqref="O63 N62 N21:N46">
    <cfRule type="expression" dxfId="9" priority="1" stopIfTrue="1">
      <formula>"$h15=2 and $i15=2"</formula>
    </cfRule>
  </conditionalFormatting>
  <conditionalFormatting sqref="X68:X110">
    <cfRule type="cellIs" dxfId="8" priority="111" stopIfTrue="1" operator="equal">
      <formula>1</formula>
    </cfRule>
    <cfRule type="cellIs" dxfId="7" priority="112" stopIfTrue="1" operator="between">
      <formula>1</formula>
      <formula>3</formula>
    </cfRule>
    <cfRule type="cellIs" dxfId="6" priority="113" stopIfTrue="1" operator="equal">
      <formula>MAX($X$68:$X$110)</formula>
    </cfRule>
  </conditionalFormatting>
  <conditionalFormatting sqref="Y68:Y110">
    <cfRule type="cellIs" dxfId="5" priority="114" stopIfTrue="1" operator="equal">
      <formula>1</formula>
    </cfRule>
    <cfRule type="cellIs" dxfId="4" priority="115" stopIfTrue="1" operator="between">
      <formula>1</formula>
      <formula>3</formula>
    </cfRule>
    <cfRule type="cellIs" dxfId="3" priority="116" stopIfTrue="1" operator="equal">
      <formula>MAX($Y$68:$Y$110)</formula>
    </cfRule>
  </conditionalFormatting>
  <conditionalFormatting sqref="Z68:Z110">
    <cfRule type="cellIs" dxfId="2" priority="117" stopIfTrue="1" operator="equal">
      <formula>1</formula>
    </cfRule>
    <cfRule type="cellIs" dxfId="1" priority="118" stopIfTrue="1" operator="between">
      <formula>1</formula>
      <formula>3</formula>
    </cfRule>
    <cfRule type="cellIs" dxfId="0" priority="119" stopIfTrue="1" operator="equal">
      <formula>MAX($Z$68:$Z$110)</formula>
    </cfRule>
  </conditionalFormatting>
  <pageMargins left="0.75" right="0.72" top="1" bottom="1" header="0.5" footer="0.5"/>
  <pageSetup scale="3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showRowColHeaders="0" workbookViewId="0">
      <selection activeCell="B5" sqref="B5"/>
    </sheetView>
  </sheetViews>
  <sheetFormatPr defaultColWidth="0" defaultRowHeight="12.75" zeroHeight="1" x14ac:dyDescent="0.2"/>
  <cols>
    <col min="1" max="1" width="2.85546875" style="315" customWidth="1"/>
    <col min="2" max="4" width="9.140625" style="315" customWidth="1"/>
    <col min="5" max="5" width="2.85546875" style="315" customWidth="1"/>
    <col min="6" max="7" width="9.140625" style="315" customWidth="1"/>
    <col min="8" max="8" width="2.85546875" style="315" customWidth="1"/>
    <col min="9" max="9" width="9.5703125" style="315" customWidth="1"/>
    <col min="10" max="10" width="10.85546875" style="315" customWidth="1"/>
    <col min="11" max="11" width="2.85546875" style="315" customWidth="1"/>
    <col min="12" max="13" width="14.28515625" style="315" customWidth="1"/>
    <col min="14" max="14" width="2.85546875" style="315" customWidth="1"/>
    <col min="15" max="15" width="10.28515625" style="315" customWidth="1"/>
    <col min="16" max="16" width="9.140625" style="315" customWidth="1"/>
    <col min="17" max="17" width="2.85546875" style="315" customWidth="1"/>
    <col min="18" max="18" width="14.28515625" style="315" customWidth="1"/>
    <col min="19" max="19" width="10.85546875" style="315" customWidth="1"/>
    <col min="20" max="20" width="2.85546875" style="315" customWidth="1"/>
    <col min="21" max="16384" width="9.140625" style="315" hidden="1"/>
  </cols>
  <sheetData>
    <row r="1" spans="1:20" x14ac:dyDescent="0.2">
      <c r="B1" s="316" t="s">
        <v>125</v>
      </c>
    </row>
    <row r="2" spans="1:20" ht="13.5" thickBot="1" x14ac:dyDescent="0.25"/>
    <row r="3" spans="1:20" ht="42" customHeight="1" x14ac:dyDescent="0.2">
      <c r="B3" s="431" t="s">
        <v>126</v>
      </c>
      <c r="C3" s="435"/>
      <c r="D3" s="432"/>
      <c r="E3" s="317"/>
      <c r="F3" s="431" t="s">
        <v>127</v>
      </c>
      <c r="G3" s="432"/>
      <c r="H3" s="317"/>
      <c r="I3" s="431" t="s">
        <v>128</v>
      </c>
      <c r="J3" s="432"/>
      <c r="L3" s="431" t="s">
        <v>7</v>
      </c>
      <c r="M3" s="432"/>
      <c r="N3" s="317"/>
      <c r="O3" s="431" t="s">
        <v>1</v>
      </c>
      <c r="P3" s="432"/>
      <c r="Q3" s="317"/>
      <c r="R3" s="431" t="s">
        <v>129</v>
      </c>
      <c r="S3" s="432"/>
      <c r="T3" s="317"/>
    </row>
    <row r="4" spans="1:20" s="316" customFormat="1" ht="14.25" x14ac:dyDescent="0.2">
      <c r="B4" s="318" t="s">
        <v>130</v>
      </c>
      <c r="C4" s="319" t="s">
        <v>131</v>
      </c>
      <c r="D4" s="320" t="s">
        <v>132</v>
      </c>
      <c r="E4" s="321"/>
      <c r="F4" s="318" t="s">
        <v>133</v>
      </c>
      <c r="G4" s="320" t="s">
        <v>134</v>
      </c>
      <c r="H4" s="321"/>
      <c r="I4" s="322" t="s">
        <v>135</v>
      </c>
      <c r="J4" s="323" t="s">
        <v>136</v>
      </c>
      <c r="L4" s="318" t="s">
        <v>137</v>
      </c>
      <c r="M4" s="320" t="s">
        <v>138</v>
      </c>
      <c r="N4" s="321"/>
      <c r="O4" s="318" t="s">
        <v>139</v>
      </c>
      <c r="P4" s="320" t="s">
        <v>140</v>
      </c>
      <c r="Q4" s="321"/>
      <c r="R4" s="318" t="s">
        <v>141</v>
      </c>
      <c r="S4" s="320" t="s">
        <v>142</v>
      </c>
      <c r="T4" s="321"/>
    </row>
    <row r="5" spans="1:20" s="324" customFormat="1" x14ac:dyDescent="0.2">
      <c r="B5" s="325">
        <v>1</v>
      </c>
      <c r="C5" s="394">
        <f>ROUND(B5/(3.2808334)^3*60,0)</f>
        <v>2</v>
      </c>
      <c r="D5" s="326">
        <f>ROUND(C5/3600,3)</f>
        <v>1E-3</v>
      </c>
      <c r="F5" s="325">
        <v>1</v>
      </c>
      <c r="G5" s="395">
        <f>ROUND(F5/3.2808334/60,2)</f>
        <v>0.01</v>
      </c>
      <c r="I5" s="327">
        <v>1</v>
      </c>
      <c r="J5" s="396">
        <f>I5/3.2808334</f>
        <v>0.30480060340765852</v>
      </c>
      <c r="L5" s="325">
        <v>1</v>
      </c>
      <c r="M5" s="395">
        <f>L5/(3.2808334)^3*60</f>
        <v>1.6990208860530269</v>
      </c>
      <c r="O5" s="325">
        <v>1</v>
      </c>
      <c r="P5" s="326">
        <f>O5*249</f>
        <v>249</v>
      </c>
      <c r="R5" s="325">
        <v>1</v>
      </c>
      <c r="S5" s="328">
        <f>(R5-32)*5/9</f>
        <v>-17.222222222222221</v>
      </c>
    </row>
    <row r="6" spans="1:20" x14ac:dyDescent="0.2">
      <c r="A6" s="329"/>
      <c r="B6" s="330">
        <v>2000</v>
      </c>
      <c r="C6" s="331">
        <f t="shared" ref="C6:C44" si="0">B6/(3.2808334)^3*60</f>
        <v>3398.0417721060535</v>
      </c>
      <c r="D6" s="332">
        <f t="shared" ref="D6:D44" si="1">C6/3600</f>
        <v>0.94390049225168149</v>
      </c>
      <c r="E6" s="329"/>
      <c r="F6" s="330">
        <v>50</v>
      </c>
      <c r="G6" s="333">
        <f t="shared" ref="G6:G23" si="2">F6/3.2808334/60</f>
        <v>0.25400050283971543</v>
      </c>
      <c r="H6" s="329"/>
      <c r="I6" s="334">
        <v>10</v>
      </c>
      <c r="J6" s="335">
        <f t="shared" ref="J6:J28" si="3">I6/3.2808334</f>
        <v>3.0480060340765855</v>
      </c>
      <c r="L6" s="336">
        <v>10</v>
      </c>
      <c r="M6" s="337">
        <f t="shared" ref="M6:M26" si="4">L6/(3.2808334)^3*60</f>
        <v>16.990208860530267</v>
      </c>
      <c r="N6" s="329"/>
      <c r="O6" s="338">
        <v>0.01</v>
      </c>
      <c r="P6" s="339">
        <f t="shared" ref="P6:P35" si="5">O6*249</f>
        <v>2.4900000000000002</v>
      </c>
      <c r="R6" s="336">
        <v>32</v>
      </c>
      <c r="S6" s="337">
        <f>(R6-32)/9*5</f>
        <v>0</v>
      </c>
    </row>
    <row r="7" spans="1:20" x14ac:dyDescent="0.2">
      <c r="A7" s="329"/>
      <c r="B7" s="330">
        <f t="shared" ref="B7:B44" si="6">B6+500</f>
        <v>2500</v>
      </c>
      <c r="C7" s="331">
        <f t="shared" si="0"/>
        <v>4247.5522151325677</v>
      </c>
      <c r="D7" s="332">
        <f t="shared" si="1"/>
        <v>1.1798756153146022</v>
      </c>
      <c r="E7" s="329"/>
      <c r="F7" s="330">
        <f>F6+50</f>
        <v>100</v>
      </c>
      <c r="G7" s="333">
        <f t="shared" si="2"/>
        <v>0.50800100567943085</v>
      </c>
      <c r="H7" s="329"/>
      <c r="I7" s="334">
        <f>I6+5</f>
        <v>15</v>
      </c>
      <c r="J7" s="335">
        <f t="shared" si="3"/>
        <v>4.5720090511148781</v>
      </c>
      <c r="L7" s="336">
        <f>L6+1</f>
        <v>11</v>
      </c>
      <c r="M7" s="337">
        <f t="shared" si="4"/>
        <v>18.689229746583294</v>
      </c>
      <c r="N7" s="329"/>
      <c r="O7" s="338">
        <f>O6+0.01</f>
        <v>0.02</v>
      </c>
      <c r="P7" s="339">
        <f t="shared" si="5"/>
        <v>4.9800000000000004</v>
      </c>
      <c r="R7" s="336">
        <f t="shared" ref="R7:R44" si="7">R6+2</f>
        <v>34</v>
      </c>
      <c r="S7" s="337">
        <f t="shared" ref="S7:S44" si="8">(R7-32)/9*5</f>
        <v>1.1111111111111112</v>
      </c>
    </row>
    <row r="8" spans="1:20" x14ac:dyDescent="0.2">
      <c r="A8" s="329"/>
      <c r="B8" s="330">
        <f t="shared" si="6"/>
        <v>3000</v>
      </c>
      <c r="C8" s="331">
        <f t="shared" si="0"/>
        <v>5097.0626581590805</v>
      </c>
      <c r="D8" s="332">
        <f t="shared" si="1"/>
        <v>1.4158507383775223</v>
      </c>
      <c r="E8" s="329"/>
      <c r="F8" s="330">
        <f t="shared" ref="F8:F23" si="9">F7+50</f>
        <v>150</v>
      </c>
      <c r="G8" s="333">
        <f t="shared" si="2"/>
        <v>0.76200150851914639</v>
      </c>
      <c r="H8" s="329"/>
      <c r="I8" s="334">
        <f t="shared" ref="I8:I17" si="10">I7+5</f>
        <v>20</v>
      </c>
      <c r="J8" s="335">
        <f t="shared" si="3"/>
        <v>6.0960120681531711</v>
      </c>
      <c r="L8" s="336">
        <f t="shared" ref="L8:L26" si="11">L7+1</f>
        <v>12</v>
      </c>
      <c r="M8" s="337">
        <f t="shared" si="4"/>
        <v>20.388250632636325</v>
      </c>
      <c r="N8" s="329"/>
      <c r="O8" s="338">
        <f t="shared" ref="O8:O35" si="12">O7+0.01</f>
        <v>0.03</v>
      </c>
      <c r="P8" s="339">
        <f t="shared" si="5"/>
        <v>7.47</v>
      </c>
      <c r="R8" s="336">
        <f t="shared" si="7"/>
        <v>36</v>
      </c>
      <c r="S8" s="337">
        <f t="shared" si="8"/>
        <v>2.2222222222222223</v>
      </c>
    </row>
    <row r="9" spans="1:20" x14ac:dyDescent="0.2">
      <c r="A9" s="329"/>
      <c r="B9" s="330">
        <f t="shared" si="6"/>
        <v>3500</v>
      </c>
      <c r="C9" s="331">
        <f t="shared" si="0"/>
        <v>5946.5731011855942</v>
      </c>
      <c r="D9" s="332">
        <f t="shared" si="1"/>
        <v>1.6518258614404429</v>
      </c>
      <c r="E9" s="329"/>
      <c r="F9" s="330">
        <f t="shared" si="9"/>
        <v>200</v>
      </c>
      <c r="G9" s="333">
        <f t="shared" si="2"/>
        <v>1.0160020113588617</v>
      </c>
      <c r="H9" s="329"/>
      <c r="I9" s="334">
        <f t="shared" si="10"/>
        <v>25</v>
      </c>
      <c r="J9" s="335">
        <f t="shared" si="3"/>
        <v>7.6200150851914632</v>
      </c>
      <c r="L9" s="336">
        <f t="shared" si="11"/>
        <v>13</v>
      </c>
      <c r="M9" s="337">
        <f t="shared" si="4"/>
        <v>22.087271518689352</v>
      </c>
      <c r="N9" s="329"/>
      <c r="O9" s="338">
        <f t="shared" si="12"/>
        <v>0.04</v>
      </c>
      <c r="P9" s="339">
        <f t="shared" si="5"/>
        <v>9.9600000000000009</v>
      </c>
      <c r="R9" s="336">
        <f t="shared" si="7"/>
        <v>38</v>
      </c>
      <c r="S9" s="337">
        <f t="shared" si="8"/>
        <v>3.333333333333333</v>
      </c>
    </row>
    <row r="10" spans="1:20" x14ac:dyDescent="0.2">
      <c r="A10" s="329"/>
      <c r="B10" s="330">
        <f t="shared" si="6"/>
        <v>4000</v>
      </c>
      <c r="C10" s="331">
        <f t="shared" si="0"/>
        <v>6796.083544212107</v>
      </c>
      <c r="D10" s="332">
        <f t="shared" si="1"/>
        <v>1.887800984503363</v>
      </c>
      <c r="E10" s="340"/>
      <c r="F10" s="330">
        <f t="shared" si="9"/>
        <v>250</v>
      </c>
      <c r="G10" s="333">
        <f t="shared" si="2"/>
        <v>1.2700025141985773</v>
      </c>
      <c r="H10" s="329"/>
      <c r="I10" s="334">
        <f t="shared" si="10"/>
        <v>30</v>
      </c>
      <c r="J10" s="335">
        <f t="shared" si="3"/>
        <v>9.1440181022297562</v>
      </c>
      <c r="L10" s="336">
        <f t="shared" si="11"/>
        <v>14</v>
      </c>
      <c r="M10" s="337">
        <f t="shared" si="4"/>
        <v>23.786292404742376</v>
      </c>
      <c r="N10" s="329"/>
      <c r="O10" s="338">
        <f t="shared" si="12"/>
        <v>0.05</v>
      </c>
      <c r="P10" s="339">
        <f t="shared" si="5"/>
        <v>12.450000000000001</v>
      </c>
      <c r="R10" s="336">
        <f t="shared" si="7"/>
        <v>40</v>
      </c>
      <c r="S10" s="337">
        <f t="shared" si="8"/>
        <v>4.4444444444444446</v>
      </c>
    </row>
    <row r="11" spans="1:20" x14ac:dyDescent="0.2">
      <c r="A11" s="329"/>
      <c r="B11" s="330">
        <f t="shared" si="6"/>
        <v>4500</v>
      </c>
      <c r="C11" s="331">
        <f t="shared" si="0"/>
        <v>7645.5939872386207</v>
      </c>
      <c r="D11" s="332">
        <f t="shared" si="1"/>
        <v>2.1237761075662833</v>
      </c>
      <c r="E11" s="329"/>
      <c r="F11" s="330">
        <f t="shared" si="9"/>
        <v>300</v>
      </c>
      <c r="G11" s="333">
        <f t="shared" si="2"/>
        <v>1.5240030170382928</v>
      </c>
      <c r="H11" s="329"/>
      <c r="I11" s="334">
        <f t="shared" si="10"/>
        <v>35</v>
      </c>
      <c r="J11" s="335">
        <f t="shared" si="3"/>
        <v>10.668021119268049</v>
      </c>
      <c r="L11" s="336">
        <f t="shared" si="11"/>
        <v>15</v>
      </c>
      <c r="M11" s="337">
        <f t="shared" si="4"/>
        <v>25.485313290795403</v>
      </c>
      <c r="N11" s="329"/>
      <c r="O11" s="338">
        <f t="shared" si="12"/>
        <v>6.0000000000000005E-2</v>
      </c>
      <c r="P11" s="339">
        <f t="shared" si="5"/>
        <v>14.940000000000001</v>
      </c>
      <c r="R11" s="336">
        <f t="shared" si="7"/>
        <v>42</v>
      </c>
      <c r="S11" s="337">
        <f t="shared" si="8"/>
        <v>5.5555555555555554</v>
      </c>
    </row>
    <row r="12" spans="1:20" x14ac:dyDescent="0.2">
      <c r="A12" s="329"/>
      <c r="B12" s="330">
        <f t="shared" si="6"/>
        <v>5000</v>
      </c>
      <c r="C12" s="331">
        <f t="shared" si="0"/>
        <v>8495.1044302651353</v>
      </c>
      <c r="D12" s="332">
        <f t="shared" si="1"/>
        <v>2.3597512306292043</v>
      </c>
      <c r="E12" s="329"/>
      <c r="F12" s="330">
        <f t="shared" si="9"/>
        <v>350</v>
      </c>
      <c r="G12" s="333">
        <f t="shared" si="2"/>
        <v>1.7780035198780082</v>
      </c>
      <c r="H12" s="329"/>
      <c r="I12" s="334">
        <f t="shared" si="10"/>
        <v>40</v>
      </c>
      <c r="J12" s="335">
        <f t="shared" si="3"/>
        <v>12.192024136306342</v>
      </c>
      <c r="L12" s="336">
        <f t="shared" si="11"/>
        <v>16</v>
      </c>
      <c r="M12" s="337">
        <f t="shared" si="4"/>
        <v>27.184334176848431</v>
      </c>
      <c r="N12" s="329"/>
      <c r="O12" s="338">
        <f t="shared" si="12"/>
        <v>7.0000000000000007E-2</v>
      </c>
      <c r="P12" s="339">
        <f t="shared" si="5"/>
        <v>17.430000000000003</v>
      </c>
      <c r="R12" s="336">
        <f t="shared" si="7"/>
        <v>44</v>
      </c>
      <c r="S12" s="337">
        <f t="shared" si="8"/>
        <v>6.6666666666666661</v>
      </c>
    </row>
    <row r="13" spans="1:20" x14ac:dyDescent="0.2">
      <c r="A13" s="329"/>
      <c r="B13" s="330">
        <f t="shared" si="6"/>
        <v>5500</v>
      </c>
      <c r="C13" s="331">
        <f t="shared" si="0"/>
        <v>9344.6148732916481</v>
      </c>
      <c r="D13" s="332">
        <f t="shared" si="1"/>
        <v>2.5957263536921245</v>
      </c>
      <c r="E13" s="329"/>
      <c r="F13" s="330">
        <f t="shared" si="9"/>
        <v>400</v>
      </c>
      <c r="G13" s="333">
        <f t="shared" si="2"/>
        <v>2.0320040227177234</v>
      </c>
      <c r="H13" s="329"/>
      <c r="I13" s="334">
        <f t="shared" si="10"/>
        <v>45</v>
      </c>
      <c r="J13" s="335">
        <f t="shared" si="3"/>
        <v>13.716027153344635</v>
      </c>
      <c r="L13" s="336">
        <f t="shared" si="11"/>
        <v>17</v>
      </c>
      <c r="M13" s="337">
        <f t="shared" si="4"/>
        <v>28.883355062901458</v>
      </c>
      <c r="N13" s="329"/>
      <c r="O13" s="338">
        <f t="shared" si="12"/>
        <v>0.08</v>
      </c>
      <c r="P13" s="339">
        <f t="shared" si="5"/>
        <v>19.920000000000002</v>
      </c>
      <c r="R13" s="336">
        <f t="shared" si="7"/>
        <v>46</v>
      </c>
      <c r="S13" s="337">
        <f t="shared" si="8"/>
        <v>7.7777777777777777</v>
      </c>
    </row>
    <row r="14" spans="1:20" x14ac:dyDescent="0.2">
      <c r="A14" s="329"/>
      <c r="B14" s="330">
        <f t="shared" si="6"/>
        <v>6000</v>
      </c>
      <c r="C14" s="331">
        <f t="shared" si="0"/>
        <v>10194.125316318161</v>
      </c>
      <c r="D14" s="332">
        <f t="shared" si="1"/>
        <v>2.8317014767550446</v>
      </c>
      <c r="E14" s="329"/>
      <c r="F14" s="330">
        <f t="shared" si="9"/>
        <v>450</v>
      </c>
      <c r="G14" s="333">
        <f t="shared" si="2"/>
        <v>2.286004525557439</v>
      </c>
      <c r="H14" s="329"/>
      <c r="I14" s="334">
        <f t="shared" si="10"/>
        <v>50</v>
      </c>
      <c r="J14" s="335">
        <f t="shared" si="3"/>
        <v>15.240030170382926</v>
      </c>
      <c r="L14" s="336">
        <f t="shared" si="11"/>
        <v>18</v>
      </c>
      <c r="M14" s="337">
        <f t="shared" si="4"/>
        <v>30.582375948954482</v>
      </c>
      <c r="N14" s="329"/>
      <c r="O14" s="338">
        <f t="shared" si="12"/>
        <v>0.09</v>
      </c>
      <c r="P14" s="339">
        <f t="shared" si="5"/>
        <v>22.41</v>
      </c>
      <c r="R14" s="336">
        <f t="shared" si="7"/>
        <v>48</v>
      </c>
      <c r="S14" s="337">
        <f t="shared" si="8"/>
        <v>8.8888888888888893</v>
      </c>
    </row>
    <row r="15" spans="1:20" x14ac:dyDescent="0.2">
      <c r="A15" s="329"/>
      <c r="B15" s="330">
        <f t="shared" si="6"/>
        <v>6500</v>
      </c>
      <c r="C15" s="331">
        <f t="shared" si="0"/>
        <v>11043.635759344674</v>
      </c>
      <c r="D15" s="332">
        <f t="shared" si="1"/>
        <v>3.0676765998179647</v>
      </c>
      <c r="E15" s="329"/>
      <c r="F15" s="330">
        <f t="shared" si="9"/>
        <v>500</v>
      </c>
      <c r="G15" s="333">
        <f t="shared" si="2"/>
        <v>2.5400050283971547</v>
      </c>
      <c r="H15" s="329"/>
      <c r="I15" s="334">
        <f t="shared" si="10"/>
        <v>55</v>
      </c>
      <c r="J15" s="335">
        <f t="shared" si="3"/>
        <v>16.764033187421219</v>
      </c>
      <c r="L15" s="336">
        <f t="shared" si="11"/>
        <v>19</v>
      </c>
      <c r="M15" s="337">
        <f t="shared" si="4"/>
        <v>32.281396835007513</v>
      </c>
      <c r="N15" s="329"/>
      <c r="O15" s="338">
        <f t="shared" si="12"/>
        <v>9.9999999999999992E-2</v>
      </c>
      <c r="P15" s="339">
        <f t="shared" si="5"/>
        <v>24.9</v>
      </c>
      <c r="R15" s="336">
        <f t="shared" si="7"/>
        <v>50</v>
      </c>
      <c r="S15" s="337">
        <f t="shared" si="8"/>
        <v>10</v>
      </c>
    </row>
    <row r="16" spans="1:20" x14ac:dyDescent="0.2">
      <c r="A16" s="329"/>
      <c r="B16" s="330">
        <f t="shared" si="6"/>
        <v>7000</v>
      </c>
      <c r="C16" s="331">
        <f t="shared" si="0"/>
        <v>11893.146202371188</v>
      </c>
      <c r="D16" s="332">
        <f t="shared" si="1"/>
        <v>3.3036517228808857</v>
      </c>
      <c r="E16" s="329"/>
      <c r="F16" s="330">
        <f t="shared" si="9"/>
        <v>550</v>
      </c>
      <c r="G16" s="333">
        <f t="shared" si="2"/>
        <v>2.7940055312368699</v>
      </c>
      <c r="H16" s="329"/>
      <c r="I16" s="334">
        <f t="shared" si="10"/>
        <v>60</v>
      </c>
      <c r="J16" s="335">
        <f t="shared" si="3"/>
        <v>18.288036204459512</v>
      </c>
      <c r="L16" s="336">
        <f t="shared" si="11"/>
        <v>20</v>
      </c>
      <c r="M16" s="337">
        <f t="shared" si="4"/>
        <v>33.980417721060533</v>
      </c>
      <c r="N16" s="329"/>
      <c r="O16" s="338">
        <f t="shared" si="12"/>
        <v>0.10999999999999999</v>
      </c>
      <c r="P16" s="339">
        <f t="shared" si="5"/>
        <v>27.389999999999997</v>
      </c>
      <c r="R16" s="336">
        <f t="shared" si="7"/>
        <v>52</v>
      </c>
      <c r="S16" s="337">
        <f t="shared" si="8"/>
        <v>11.111111111111111</v>
      </c>
    </row>
    <row r="17" spans="1:19" x14ac:dyDescent="0.2">
      <c r="A17" s="329"/>
      <c r="B17" s="330">
        <f t="shared" si="6"/>
        <v>7500</v>
      </c>
      <c r="C17" s="331">
        <f t="shared" si="0"/>
        <v>12742.656645397703</v>
      </c>
      <c r="D17" s="332">
        <f t="shared" si="1"/>
        <v>3.5396268459438063</v>
      </c>
      <c r="E17" s="329"/>
      <c r="F17" s="330">
        <f t="shared" si="9"/>
        <v>600</v>
      </c>
      <c r="G17" s="333">
        <f t="shared" si="2"/>
        <v>3.0480060340765855</v>
      </c>
      <c r="H17" s="329"/>
      <c r="I17" s="334">
        <f t="shared" si="10"/>
        <v>65</v>
      </c>
      <c r="J17" s="335">
        <f t="shared" si="3"/>
        <v>19.812039221497805</v>
      </c>
      <c r="L17" s="336">
        <f t="shared" si="11"/>
        <v>21</v>
      </c>
      <c r="M17" s="337">
        <f t="shared" si="4"/>
        <v>35.679438607113561</v>
      </c>
      <c r="N17" s="329"/>
      <c r="O17" s="338">
        <f t="shared" si="12"/>
        <v>0.11999999999999998</v>
      </c>
      <c r="P17" s="339">
        <f t="shared" si="5"/>
        <v>29.879999999999995</v>
      </c>
      <c r="R17" s="336">
        <f t="shared" si="7"/>
        <v>54</v>
      </c>
      <c r="S17" s="337">
        <f t="shared" si="8"/>
        <v>12.222222222222223</v>
      </c>
    </row>
    <row r="18" spans="1:19" x14ac:dyDescent="0.2">
      <c r="A18" s="329"/>
      <c r="B18" s="330">
        <f t="shared" si="6"/>
        <v>8000</v>
      </c>
      <c r="C18" s="331">
        <f t="shared" si="0"/>
        <v>13592.167088424214</v>
      </c>
      <c r="D18" s="332">
        <f t="shared" si="1"/>
        <v>3.775601969006726</v>
      </c>
      <c r="E18" s="329"/>
      <c r="F18" s="330">
        <f t="shared" si="9"/>
        <v>650</v>
      </c>
      <c r="G18" s="333">
        <f t="shared" si="2"/>
        <v>3.3020065369163007</v>
      </c>
      <c r="H18" s="329"/>
      <c r="I18" s="334">
        <v>100</v>
      </c>
      <c r="J18" s="335">
        <f t="shared" si="3"/>
        <v>30.480060340765853</v>
      </c>
      <c r="L18" s="336">
        <f t="shared" si="11"/>
        <v>22</v>
      </c>
      <c r="M18" s="337">
        <f t="shared" si="4"/>
        <v>37.378459493166588</v>
      </c>
      <c r="N18" s="329"/>
      <c r="O18" s="338">
        <f t="shared" si="12"/>
        <v>0.12999999999999998</v>
      </c>
      <c r="P18" s="339">
        <f t="shared" si="5"/>
        <v>32.369999999999997</v>
      </c>
      <c r="R18" s="336">
        <f t="shared" si="7"/>
        <v>56</v>
      </c>
      <c r="S18" s="337">
        <f t="shared" si="8"/>
        <v>13.333333333333332</v>
      </c>
    </row>
    <row r="19" spans="1:19" x14ac:dyDescent="0.2">
      <c r="A19" s="329"/>
      <c r="B19" s="330">
        <f t="shared" si="6"/>
        <v>8500</v>
      </c>
      <c r="C19" s="331">
        <f t="shared" si="0"/>
        <v>14441.677531450729</v>
      </c>
      <c r="D19" s="332">
        <f t="shared" si="1"/>
        <v>4.011577092069647</v>
      </c>
      <c r="E19" s="329"/>
      <c r="F19" s="330">
        <f t="shared" si="9"/>
        <v>700</v>
      </c>
      <c r="G19" s="333">
        <f t="shared" si="2"/>
        <v>3.5560070397560164</v>
      </c>
      <c r="H19" s="329"/>
      <c r="I19" s="334">
        <v>300</v>
      </c>
      <c r="J19" s="335">
        <f t="shared" si="3"/>
        <v>91.440181022297566</v>
      </c>
      <c r="L19" s="336">
        <f t="shared" si="11"/>
        <v>23</v>
      </c>
      <c r="M19" s="337">
        <f t="shared" si="4"/>
        <v>39.077480379219615</v>
      </c>
      <c r="N19" s="329"/>
      <c r="O19" s="338">
        <f t="shared" si="12"/>
        <v>0.13999999999999999</v>
      </c>
      <c r="P19" s="339">
        <f t="shared" si="5"/>
        <v>34.86</v>
      </c>
      <c r="R19" s="336">
        <f t="shared" si="7"/>
        <v>58</v>
      </c>
      <c r="S19" s="337">
        <f t="shared" si="8"/>
        <v>14.444444444444445</v>
      </c>
    </row>
    <row r="20" spans="1:19" x14ac:dyDescent="0.2">
      <c r="A20" s="329"/>
      <c r="B20" s="330">
        <f t="shared" si="6"/>
        <v>9000</v>
      </c>
      <c r="C20" s="331">
        <f t="shared" si="0"/>
        <v>15291.187974477241</v>
      </c>
      <c r="D20" s="332">
        <f t="shared" si="1"/>
        <v>4.2475522151325666</v>
      </c>
      <c r="E20" s="329"/>
      <c r="F20" s="330">
        <f t="shared" si="9"/>
        <v>750</v>
      </c>
      <c r="G20" s="333">
        <f t="shared" si="2"/>
        <v>3.810007542595732</v>
      </c>
      <c r="H20" s="329"/>
      <c r="I20" s="334">
        <f>I19+50</f>
        <v>350</v>
      </c>
      <c r="J20" s="335">
        <f t="shared" si="3"/>
        <v>106.68021119268049</v>
      </c>
      <c r="L20" s="336">
        <f t="shared" si="11"/>
        <v>24</v>
      </c>
      <c r="M20" s="337">
        <f t="shared" si="4"/>
        <v>40.77650126527265</v>
      </c>
      <c r="N20" s="329"/>
      <c r="O20" s="338">
        <f t="shared" si="12"/>
        <v>0.15</v>
      </c>
      <c r="P20" s="339">
        <f t="shared" si="5"/>
        <v>37.35</v>
      </c>
      <c r="R20" s="336">
        <f t="shared" si="7"/>
        <v>60</v>
      </c>
      <c r="S20" s="337">
        <f t="shared" si="8"/>
        <v>15.555555555555555</v>
      </c>
    </row>
    <row r="21" spans="1:19" x14ac:dyDescent="0.2">
      <c r="A21" s="329"/>
      <c r="B21" s="330">
        <f t="shared" si="6"/>
        <v>9500</v>
      </c>
      <c r="C21" s="331">
        <f t="shared" si="0"/>
        <v>16140.698417503754</v>
      </c>
      <c r="D21" s="332">
        <f t="shared" si="1"/>
        <v>4.4835273381954872</v>
      </c>
      <c r="E21" s="329"/>
      <c r="F21" s="330">
        <f t="shared" si="9"/>
        <v>800</v>
      </c>
      <c r="G21" s="333">
        <f t="shared" si="2"/>
        <v>4.0640080454354468</v>
      </c>
      <c r="H21" s="329"/>
      <c r="I21" s="334">
        <f t="shared" ref="I21:I28" si="13">I20+50</f>
        <v>400</v>
      </c>
      <c r="J21" s="335">
        <f t="shared" si="3"/>
        <v>121.92024136306341</v>
      </c>
      <c r="L21" s="336">
        <f t="shared" si="11"/>
        <v>25</v>
      </c>
      <c r="M21" s="337">
        <f t="shared" si="4"/>
        <v>42.475522151325677</v>
      </c>
      <c r="N21" s="329"/>
      <c r="O21" s="338">
        <f t="shared" si="12"/>
        <v>0.16</v>
      </c>
      <c r="P21" s="339">
        <f t="shared" si="5"/>
        <v>39.840000000000003</v>
      </c>
      <c r="R21" s="336">
        <f t="shared" si="7"/>
        <v>62</v>
      </c>
      <c r="S21" s="337">
        <f t="shared" si="8"/>
        <v>16.666666666666668</v>
      </c>
    </row>
    <row r="22" spans="1:19" x14ac:dyDescent="0.2">
      <c r="A22" s="329"/>
      <c r="B22" s="330">
        <f t="shared" si="6"/>
        <v>10000</v>
      </c>
      <c r="C22" s="331">
        <f t="shared" si="0"/>
        <v>16990.208860530271</v>
      </c>
      <c r="D22" s="332">
        <f t="shared" si="1"/>
        <v>4.7195024612584087</v>
      </c>
      <c r="E22" s="329"/>
      <c r="F22" s="330">
        <f t="shared" si="9"/>
        <v>850</v>
      </c>
      <c r="G22" s="333">
        <f t="shared" si="2"/>
        <v>4.3180085482751629</v>
      </c>
      <c r="H22" s="329"/>
      <c r="I22" s="334">
        <f>I21+50</f>
        <v>450</v>
      </c>
      <c r="J22" s="335">
        <f t="shared" si="3"/>
        <v>137.16027153344635</v>
      </c>
      <c r="L22" s="336">
        <f t="shared" si="11"/>
        <v>26</v>
      </c>
      <c r="M22" s="337">
        <f t="shared" si="4"/>
        <v>44.174543037378704</v>
      </c>
      <c r="N22" s="329"/>
      <c r="O22" s="338">
        <f t="shared" si="12"/>
        <v>0.17</v>
      </c>
      <c r="P22" s="339">
        <f t="shared" si="5"/>
        <v>42.330000000000005</v>
      </c>
      <c r="R22" s="336">
        <f t="shared" si="7"/>
        <v>64</v>
      </c>
      <c r="S22" s="337">
        <f t="shared" si="8"/>
        <v>17.777777777777779</v>
      </c>
    </row>
    <row r="23" spans="1:19" ht="13.5" thickBot="1" x14ac:dyDescent="0.25">
      <c r="A23" s="329"/>
      <c r="B23" s="330">
        <f t="shared" si="6"/>
        <v>10500</v>
      </c>
      <c r="C23" s="331">
        <f t="shared" si="0"/>
        <v>17839.719303556783</v>
      </c>
      <c r="D23" s="332">
        <f t="shared" si="1"/>
        <v>4.9554775843213283</v>
      </c>
      <c r="E23" s="329"/>
      <c r="F23" s="341">
        <f t="shared" si="9"/>
        <v>900</v>
      </c>
      <c r="G23" s="342">
        <f t="shared" si="2"/>
        <v>4.5720090511148781</v>
      </c>
      <c r="H23" s="329"/>
      <c r="I23" s="334">
        <f t="shared" si="13"/>
        <v>500</v>
      </c>
      <c r="J23" s="335">
        <f t="shared" si="3"/>
        <v>152.40030170382929</v>
      </c>
      <c r="L23" s="336">
        <f t="shared" si="11"/>
        <v>27</v>
      </c>
      <c r="M23" s="337">
        <f t="shared" si="4"/>
        <v>45.873563923431732</v>
      </c>
      <c r="N23" s="329"/>
      <c r="O23" s="338">
        <f t="shared" si="12"/>
        <v>0.18000000000000002</v>
      </c>
      <c r="P23" s="339">
        <f t="shared" si="5"/>
        <v>44.820000000000007</v>
      </c>
      <c r="R23" s="336">
        <f t="shared" si="7"/>
        <v>66</v>
      </c>
      <c r="S23" s="337">
        <f t="shared" si="8"/>
        <v>18.888888888888889</v>
      </c>
    </row>
    <row r="24" spans="1:19" x14ac:dyDescent="0.2">
      <c r="A24" s="329"/>
      <c r="B24" s="330">
        <f t="shared" si="6"/>
        <v>11000</v>
      </c>
      <c r="C24" s="331">
        <f t="shared" si="0"/>
        <v>18689.229746583296</v>
      </c>
      <c r="D24" s="332">
        <f t="shared" si="1"/>
        <v>5.1914527073842489</v>
      </c>
      <c r="E24" s="329"/>
      <c r="F24" s="329"/>
      <c r="G24" s="329"/>
      <c r="H24" s="329"/>
      <c r="I24" s="334">
        <f t="shared" si="13"/>
        <v>550</v>
      </c>
      <c r="J24" s="335">
        <f t="shared" si="3"/>
        <v>167.64033187421219</v>
      </c>
      <c r="L24" s="336">
        <f t="shared" si="11"/>
        <v>28</v>
      </c>
      <c r="M24" s="337">
        <f t="shared" si="4"/>
        <v>47.572584809484752</v>
      </c>
      <c r="N24" s="329"/>
      <c r="O24" s="338">
        <f t="shared" si="12"/>
        <v>0.19000000000000003</v>
      </c>
      <c r="P24" s="339">
        <f t="shared" si="5"/>
        <v>47.310000000000009</v>
      </c>
      <c r="R24" s="336">
        <f t="shared" si="7"/>
        <v>68</v>
      </c>
      <c r="S24" s="337">
        <f t="shared" si="8"/>
        <v>20</v>
      </c>
    </row>
    <row r="25" spans="1:19" x14ac:dyDescent="0.2">
      <c r="A25" s="329"/>
      <c r="B25" s="330">
        <f t="shared" si="6"/>
        <v>11500</v>
      </c>
      <c r="C25" s="331">
        <f t="shared" si="0"/>
        <v>19538.740189609809</v>
      </c>
      <c r="D25" s="332">
        <f t="shared" si="1"/>
        <v>5.4274278304471695</v>
      </c>
      <c r="E25" s="329"/>
      <c r="H25" s="329"/>
      <c r="I25" s="334">
        <f t="shared" si="13"/>
        <v>600</v>
      </c>
      <c r="J25" s="335">
        <f t="shared" si="3"/>
        <v>182.88036204459513</v>
      </c>
      <c r="L25" s="336">
        <f t="shared" si="11"/>
        <v>29</v>
      </c>
      <c r="M25" s="337">
        <f t="shared" si="4"/>
        <v>49.271605695537779</v>
      </c>
      <c r="N25" s="329"/>
      <c r="O25" s="338">
        <f t="shared" si="12"/>
        <v>0.20000000000000004</v>
      </c>
      <c r="P25" s="339">
        <f t="shared" si="5"/>
        <v>49.800000000000011</v>
      </c>
      <c r="R25" s="336">
        <f t="shared" si="7"/>
        <v>70</v>
      </c>
      <c r="S25" s="337">
        <f t="shared" si="8"/>
        <v>21.111111111111111</v>
      </c>
    </row>
    <row r="26" spans="1:19" ht="13.5" thickBot="1" x14ac:dyDescent="0.25">
      <c r="A26" s="329"/>
      <c r="B26" s="330">
        <f t="shared" si="6"/>
        <v>12000</v>
      </c>
      <c r="C26" s="331">
        <f t="shared" si="0"/>
        <v>20388.250632636322</v>
      </c>
      <c r="D26" s="332">
        <f t="shared" si="1"/>
        <v>5.6634029535100892</v>
      </c>
      <c r="E26" s="329"/>
      <c r="I26" s="334">
        <f t="shared" si="13"/>
        <v>650</v>
      </c>
      <c r="J26" s="335">
        <f t="shared" si="3"/>
        <v>198.12039221497804</v>
      </c>
      <c r="L26" s="343">
        <f t="shared" si="11"/>
        <v>30</v>
      </c>
      <c r="M26" s="344">
        <f t="shared" si="4"/>
        <v>50.970626581590807</v>
      </c>
      <c r="N26" s="329"/>
      <c r="O26" s="338">
        <f t="shared" si="12"/>
        <v>0.21000000000000005</v>
      </c>
      <c r="P26" s="339">
        <f t="shared" si="5"/>
        <v>52.290000000000013</v>
      </c>
      <c r="R26" s="336">
        <f t="shared" si="7"/>
        <v>72</v>
      </c>
      <c r="S26" s="337">
        <f t="shared" si="8"/>
        <v>22.222222222222221</v>
      </c>
    </row>
    <row r="27" spans="1:19" ht="13.5" thickBot="1" x14ac:dyDescent="0.25">
      <c r="A27" s="329"/>
      <c r="B27" s="330">
        <f t="shared" si="6"/>
        <v>12500</v>
      </c>
      <c r="C27" s="331">
        <f t="shared" si="0"/>
        <v>21237.761075662838</v>
      </c>
      <c r="D27" s="332">
        <f t="shared" si="1"/>
        <v>5.8993780765730106</v>
      </c>
      <c r="E27" s="329"/>
      <c r="H27" s="329"/>
      <c r="I27" s="334">
        <f t="shared" si="13"/>
        <v>700</v>
      </c>
      <c r="J27" s="335">
        <f t="shared" si="3"/>
        <v>213.36042238536098</v>
      </c>
      <c r="L27" s="345"/>
      <c r="M27" s="346"/>
      <c r="N27" s="329"/>
      <c r="O27" s="338">
        <f t="shared" si="12"/>
        <v>0.22000000000000006</v>
      </c>
      <c r="P27" s="339">
        <f t="shared" si="5"/>
        <v>54.780000000000015</v>
      </c>
      <c r="R27" s="336">
        <f t="shared" si="7"/>
        <v>74</v>
      </c>
      <c r="S27" s="337">
        <f t="shared" si="8"/>
        <v>23.333333333333336</v>
      </c>
    </row>
    <row r="28" spans="1:19" ht="18.75" thickBot="1" x14ac:dyDescent="0.3">
      <c r="A28" s="329"/>
      <c r="B28" s="330">
        <f t="shared" si="6"/>
        <v>13000</v>
      </c>
      <c r="C28" s="331">
        <f t="shared" si="0"/>
        <v>22087.271518689347</v>
      </c>
      <c r="D28" s="332">
        <f t="shared" si="1"/>
        <v>6.1353531996359294</v>
      </c>
      <c r="E28" s="329"/>
      <c r="H28" s="329"/>
      <c r="I28" s="347">
        <f t="shared" si="13"/>
        <v>750</v>
      </c>
      <c r="J28" s="348">
        <f t="shared" si="3"/>
        <v>228.60045255574391</v>
      </c>
      <c r="L28" s="433" t="s">
        <v>7</v>
      </c>
      <c r="M28" s="434"/>
      <c r="N28" s="329"/>
      <c r="O28" s="338">
        <f t="shared" si="12"/>
        <v>0.23000000000000007</v>
      </c>
      <c r="P28" s="339">
        <f t="shared" si="5"/>
        <v>57.270000000000017</v>
      </c>
      <c r="R28" s="336">
        <f t="shared" si="7"/>
        <v>76</v>
      </c>
      <c r="S28" s="337">
        <f t="shared" si="8"/>
        <v>24.444444444444446</v>
      </c>
    </row>
    <row r="29" spans="1:19" x14ac:dyDescent="0.2">
      <c r="A29" s="329"/>
      <c r="B29" s="330">
        <f t="shared" si="6"/>
        <v>13500</v>
      </c>
      <c r="C29" s="331">
        <f t="shared" si="0"/>
        <v>22936.781961715864</v>
      </c>
      <c r="D29" s="332">
        <f t="shared" si="1"/>
        <v>6.3713283226988509</v>
      </c>
      <c r="E29" s="329"/>
      <c r="H29" s="329"/>
      <c r="L29" s="349" t="s">
        <v>143</v>
      </c>
      <c r="M29" s="350" t="s">
        <v>144</v>
      </c>
      <c r="N29" s="329"/>
      <c r="O29" s="338">
        <f t="shared" si="12"/>
        <v>0.24000000000000007</v>
      </c>
      <c r="P29" s="339">
        <f t="shared" si="5"/>
        <v>59.760000000000019</v>
      </c>
      <c r="R29" s="336">
        <f t="shared" si="7"/>
        <v>78</v>
      </c>
      <c r="S29" s="337">
        <f t="shared" si="8"/>
        <v>25.555555555555554</v>
      </c>
    </row>
    <row r="30" spans="1:19" x14ac:dyDescent="0.2">
      <c r="A30" s="329"/>
      <c r="B30" s="330">
        <f t="shared" si="6"/>
        <v>14000</v>
      </c>
      <c r="C30" s="331">
        <f t="shared" si="0"/>
        <v>23786.292404742377</v>
      </c>
      <c r="D30" s="332">
        <f t="shared" si="1"/>
        <v>6.6073034457617714</v>
      </c>
      <c r="E30" s="329"/>
      <c r="H30" s="329"/>
      <c r="L30" s="325">
        <v>1</v>
      </c>
      <c r="M30" s="395">
        <f>1/(L30/(3.2808334)^3*60)</f>
        <v>0.5885742831114259</v>
      </c>
      <c r="N30" s="329"/>
      <c r="O30" s="338">
        <f t="shared" si="12"/>
        <v>0.25000000000000006</v>
      </c>
      <c r="P30" s="339">
        <f t="shared" si="5"/>
        <v>62.250000000000014</v>
      </c>
      <c r="R30" s="336">
        <f t="shared" si="7"/>
        <v>80</v>
      </c>
      <c r="S30" s="337">
        <f t="shared" si="8"/>
        <v>26.666666666666664</v>
      </c>
    </row>
    <row r="31" spans="1:19" x14ac:dyDescent="0.2">
      <c r="A31" s="329"/>
      <c r="B31" s="330">
        <f t="shared" si="6"/>
        <v>14500</v>
      </c>
      <c r="C31" s="331">
        <f t="shared" si="0"/>
        <v>24635.802847768889</v>
      </c>
      <c r="D31" s="332">
        <f t="shared" si="1"/>
        <v>6.8432785688246911</v>
      </c>
      <c r="E31" s="329"/>
      <c r="H31" s="329"/>
      <c r="L31" s="351">
        <f t="shared" ref="L31:L51" si="14">1/L6</f>
        <v>0.1</v>
      </c>
      <c r="M31" s="352">
        <f t="shared" ref="M31:M51" si="15">1/(M6)</f>
        <v>5.8857428311142601E-2</v>
      </c>
      <c r="N31" s="329"/>
      <c r="O31" s="338">
        <f t="shared" si="12"/>
        <v>0.26000000000000006</v>
      </c>
      <c r="P31" s="339">
        <f t="shared" si="5"/>
        <v>64.740000000000009</v>
      </c>
      <c r="R31" s="336">
        <f t="shared" si="7"/>
        <v>82</v>
      </c>
      <c r="S31" s="337">
        <f t="shared" si="8"/>
        <v>27.777777777777779</v>
      </c>
    </row>
    <row r="32" spans="1:19" x14ac:dyDescent="0.2">
      <c r="A32" s="329"/>
      <c r="B32" s="330">
        <f t="shared" si="6"/>
        <v>15000</v>
      </c>
      <c r="C32" s="331">
        <f t="shared" si="0"/>
        <v>25485.313290795406</v>
      </c>
      <c r="D32" s="332">
        <f t="shared" si="1"/>
        <v>7.0792536918876126</v>
      </c>
      <c r="E32" s="329"/>
      <c r="H32" s="329"/>
      <c r="L32" s="351">
        <f t="shared" si="14"/>
        <v>9.0909090909090912E-2</v>
      </c>
      <c r="M32" s="352">
        <f t="shared" si="15"/>
        <v>5.3506753010129637E-2</v>
      </c>
      <c r="N32" s="329"/>
      <c r="O32" s="338">
        <f t="shared" si="12"/>
        <v>0.27000000000000007</v>
      </c>
      <c r="P32" s="339">
        <f t="shared" si="5"/>
        <v>67.230000000000018</v>
      </c>
      <c r="R32" s="336">
        <f t="shared" si="7"/>
        <v>84</v>
      </c>
      <c r="S32" s="337">
        <f t="shared" si="8"/>
        <v>28.888888888888889</v>
      </c>
    </row>
    <row r="33" spans="1:19" x14ac:dyDescent="0.2">
      <c r="A33" s="329"/>
      <c r="B33" s="330">
        <f t="shared" si="6"/>
        <v>15500</v>
      </c>
      <c r="C33" s="331">
        <f t="shared" si="0"/>
        <v>26334.823733821915</v>
      </c>
      <c r="D33" s="332">
        <f t="shared" si="1"/>
        <v>7.3152288149505322</v>
      </c>
      <c r="E33" s="329"/>
      <c r="H33" s="329"/>
      <c r="L33" s="351">
        <f t="shared" si="14"/>
        <v>8.3333333333333329E-2</v>
      </c>
      <c r="M33" s="352">
        <f t="shared" si="15"/>
        <v>4.9047856925952156E-2</v>
      </c>
      <c r="N33" s="329"/>
      <c r="O33" s="338">
        <f t="shared" si="12"/>
        <v>0.28000000000000008</v>
      </c>
      <c r="P33" s="339">
        <f t="shared" si="5"/>
        <v>69.720000000000027</v>
      </c>
      <c r="R33" s="336">
        <f t="shared" si="7"/>
        <v>86</v>
      </c>
      <c r="S33" s="337">
        <f t="shared" si="8"/>
        <v>30</v>
      </c>
    </row>
    <row r="34" spans="1:19" x14ac:dyDescent="0.2">
      <c r="A34" s="329"/>
      <c r="B34" s="330">
        <f t="shared" si="6"/>
        <v>16000</v>
      </c>
      <c r="C34" s="331">
        <f t="shared" si="0"/>
        <v>27184.334176848428</v>
      </c>
      <c r="D34" s="332">
        <f t="shared" si="1"/>
        <v>7.5512039380134519</v>
      </c>
      <c r="E34" s="329"/>
      <c r="H34" s="329"/>
      <c r="L34" s="351">
        <f t="shared" si="14"/>
        <v>7.6923076923076927E-2</v>
      </c>
      <c r="M34" s="352">
        <f t="shared" si="15"/>
        <v>4.5274944854725066E-2</v>
      </c>
      <c r="N34" s="329"/>
      <c r="O34" s="338">
        <f t="shared" si="12"/>
        <v>0.29000000000000009</v>
      </c>
      <c r="P34" s="339">
        <f t="shared" si="5"/>
        <v>72.210000000000022</v>
      </c>
      <c r="R34" s="336">
        <f t="shared" si="7"/>
        <v>88</v>
      </c>
      <c r="S34" s="337">
        <f t="shared" si="8"/>
        <v>31.111111111111111</v>
      </c>
    </row>
    <row r="35" spans="1:19" ht="13.5" thickBot="1" x14ac:dyDescent="0.25">
      <c r="A35" s="329"/>
      <c r="B35" s="330">
        <f t="shared" si="6"/>
        <v>16500</v>
      </c>
      <c r="C35" s="331">
        <f t="shared" si="0"/>
        <v>28033.844619874944</v>
      </c>
      <c r="D35" s="332">
        <f t="shared" si="1"/>
        <v>7.7871790610763734</v>
      </c>
      <c r="E35" s="329"/>
      <c r="H35" s="329"/>
      <c r="L35" s="351">
        <f t="shared" si="14"/>
        <v>7.1428571428571425E-2</v>
      </c>
      <c r="M35" s="352">
        <f t="shared" si="15"/>
        <v>4.2041020222244714E-2</v>
      </c>
      <c r="N35" s="329"/>
      <c r="O35" s="353">
        <f t="shared" si="12"/>
        <v>0.3000000000000001</v>
      </c>
      <c r="P35" s="354">
        <f t="shared" si="5"/>
        <v>74.700000000000031</v>
      </c>
      <c r="R35" s="336">
        <f t="shared" si="7"/>
        <v>90</v>
      </c>
      <c r="S35" s="337">
        <f t="shared" si="8"/>
        <v>32.222222222222221</v>
      </c>
    </row>
    <row r="36" spans="1:19" x14ac:dyDescent="0.2">
      <c r="A36" s="329"/>
      <c r="B36" s="330">
        <f t="shared" si="6"/>
        <v>17000</v>
      </c>
      <c r="C36" s="331">
        <f t="shared" si="0"/>
        <v>28883.355062901457</v>
      </c>
      <c r="D36" s="332">
        <f t="shared" si="1"/>
        <v>8.0231541841392939</v>
      </c>
      <c r="E36" s="329"/>
      <c r="H36" s="329"/>
      <c r="L36" s="351">
        <f t="shared" si="14"/>
        <v>6.6666666666666666E-2</v>
      </c>
      <c r="M36" s="352">
        <f t="shared" si="15"/>
        <v>3.9238285540761732E-2</v>
      </c>
      <c r="N36" s="329"/>
      <c r="R36" s="336">
        <f t="shared" si="7"/>
        <v>92</v>
      </c>
      <c r="S36" s="337">
        <f t="shared" si="8"/>
        <v>33.333333333333336</v>
      </c>
    </row>
    <row r="37" spans="1:19" x14ac:dyDescent="0.2">
      <c r="A37" s="329"/>
      <c r="B37" s="330">
        <f t="shared" si="6"/>
        <v>17500</v>
      </c>
      <c r="C37" s="331">
        <f t="shared" si="0"/>
        <v>29732.865505927974</v>
      </c>
      <c r="D37" s="332">
        <f t="shared" si="1"/>
        <v>8.2591293072022154</v>
      </c>
      <c r="E37" s="329"/>
      <c r="H37" s="329"/>
      <c r="L37" s="351">
        <f t="shared" si="14"/>
        <v>6.25E-2</v>
      </c>
      <c r="M37" s="352">
        <f t="shared" si="15"/>
        <v>3.6785892694464119E-2</v>
      </c>
      <c r="N37" s="329"/>
      <c r="R37" s="336">
        <f t="shared" si="7"/>
        <v>94</v>
      </c>
      <c r="S37" s="337">
        <f t="shared" si="8"/>
        <v>34.444444444444443</v>
      </c>
    </row>
    <row r="38" spans="1:19" x14ac:dyDescent="0.2">
      <c r="A38" s="329"/>
      <c r="B38" s="330">
        <f t="shared" si="6"/>
        <v>18000</v>
      </c>
      <c r="C38" s="331">
        <f t="shared" si="0"/>
        <v>30582.375948954483</v>
      </c>
      <c r="D38" s="332">
        <f t="shared" si="1"/>
        <v>8.4951044302651333</v>
      </c>
      <c r="E38" s="329"/>
      <c r="H38" s="329"/>
      <c r="L38" s="351">
        <f t="shared" si="14"/>
        <v>5.8823529411764705E-2</v>
      </c>
      <c r="M38" s="352">
        <f t="shared" si="15"/>
        <v>3.4622016653613287E-2</v>
      </c>
      <c r="N38" s="329"/>
      <c r="R38" s="336">
        <f t="shared" si="7"/>
        <v>96</v>
      </c>
      <c r="S38" s="337">
        <f t="shared" si="8"/>
        <v>35.555555555555557</v>
      </c>
    </row>
    <row r="39" spans="1:19" x14ac:dyDescent="0.2">
      <c r="A39" s="329"/>
      <c r="B39" s="330">
        <f t="shared" si="6"/>
        <v>18500</v>
      </c>
      <c r="C39" s="331">
        <f t="shared" si="0"/>
        <v>31431.886391980999</v>
      </c>
      <c r="D39" s="332">
        <f t="shared" si="1"/>
        <v>8.7310795533280547</v>
      </c>
      <c r="E39" s="329"/>
      <c r="H39" s="329"/>
      <c r="L39" s="351">
        <f t="shared" si="14"/>
        <v>5.5555555555555552E-2</v>
      </c>
      <c r="M39" s="352">
        <f t="shared" si="15"/>
        <v>3.2698571283968109E-2</v>
      </c>
      <c r="N39" s="329"/>
      <c r="R39" s="336">
        <f t="shared" si="7"/>
        <v>98</v>
      </c>
      <c r="S39" s="337">
        <f t="shared" si="8"/>
        <v>36.666666666666664</v>
      </c>
    </row>
    <row r="40" spans="1:19" x14ac:dyDescent="0.2">
      <c r="A40" s="329"/>
      <c r="B40" s="330">
        <f t="shared" si="6"/>
        <v>19000</v>
      </c>
      <c r="C40" s="331">
        <f t="shared" si="0"/>
        <v>32281.396835007508</v>
      </c>
      <c r="D40" s="332">
        <f t="shared" si="1"/>
        <v>8.9670546763909744</v>
      </c>
      <c r="E40" s="329"/>
      <c r="H40" s="329"/>
      <c r="L40" s="351">
        <f t="shared" si="14"/>
        <v>5.2631578947368418E-2</v>
      </c>
      <c r="M40" s="352">
        <f t="shared" si="15"/>
        <v>3.0977593847969786E-2</v>
      </c>
      <c r="N40" s="329"/>
      <c r="R40" s="336">
        <f t="shared" si="7"/>
        <v>100</v>
      </c>
      <c r="S40" s="337">
        <f t="shared" si="8"/>
        <v>37.777777777777779</v>
      </c>
    </row>
    <row r="41" spans="1:19" x14ac:dyDescent="0.2">
      <c r="A41" s="329"/>
      <c r="B41" s="330">
        <f t="shared" si="6"/>
        <v>19500</v>
      </c>
      <c r="C41" s="331">
        <f t="shared" si="0"/>
        <v>33130.907278034021</v>
      </c>
      <c r="D41" s="332">
        <f t="shared" si="1"/>
        <v>9.2030297994538941</v>
      </c>
      <c r="E41" s="329"/>
      <c r="H41" s="329"/>
      <c r="L41" s="351">
        <f t="shared" si="14"/>
        <v>0.05</v>
      </c>
      <c r="M41" s="352">
        <f t="shared" si="15"/>
        <v>2.9428714155571301E-2</v>
      </c>
      <c r="N41" s="329"/>
      <c r="R41" s="336">
        <f t="shared" si="7"/>
        <v>102</v>
      </c>
      <c r="S41" s="337">
        <f t="shared" si="8"/>
        <v>38.888888888888886</v>
      </c>
    </row>
    <row r="42" spans="1:19" x14ac:dyDescent="0.2">
      <c r="A42" s="329"/>
      <c r="B42" s="330">
        <f t="shared" si="6"/>
        <v>20000</v>
      </c>
      <c r="C42" s="331">
        <f t="shared" si="0"/>
        <v>33980.417721060541</v>
      </c>
      <c r="D42" s="332">
        <f t="shared" si="1"/>
        <v>9.4390049225168173</v>
      </c>
      <c r="E42" s="329"/>
      <c r="H42" s="329"/>
      <c r="L42" s="351">
        <f t="shared" si="14"/>
        <v>4.7619047619047616E-2</v>
      </c>
      <c r="M42" s="352">
        <f t="shared" si="15"/>
        <v>2.8027346814829809E-2</v>
      </c>
      <c r="N42" s="329"/>
      <c r="R42" s="336">
        <f t="shared" si="7"/>
        <v>104</v>
      </c>
      <c r="S42" s="337">
        <f t="shared" si="8"/>
        <v>40</v>
      </c>
    </row>
    <row r="43" spans="1:19" x14ac:dyDescent="0.2">
      <c r="A43" s="329"/>
      <c r="B43" s="330">
        <f t="shared" si="6"/>
        <v>20500</v>
      </c>
      <c r="C43" s="331">
        <f t="shared" si="0"/>
        <v>34829.928164087047</v>
      </c>
      <c r="D43" s="332">
        <f t="shared" si="1"/>
        <v>9.6749800455797352</v>
      </c>
      <c r="E43" s="329"/>
      <c r="H43" s="329"/>
      <c r="L43" s="351">
        <f t="shared" si="14"/>
        <v>4.5454545454545456E-2</v>
      </c>
      <c r="M43" s="352">
        <f t="shared" si="15"/>
        <v>2.6753376505064819E-2</v>
      </c>
      <c r="N43" s="329"/>
      <c r="R43" s="336">
        <f t="shared" si="7"/>
        <v>106</v>
      </c>
      <c r="S43" s="337">
        <f t="shared" si="8"/>
        <v>41.111111111111107</v>
      </c>
    </row>
    <row r="44" spans="1:19" ht="13.5" thickBot="1" x14ac:dyDescent="0.25">
      <c r="A44" s="329"/>
      <c r="B44" s="330">
        <f t="shared" si="6"/>
        <v>21000</v>
      </c>
      <c r="C44" s="331">
        <f t="shared" si="0"/>
        <v>35679.438607113567</v>
      </c>
      <c r="D44" s="332">
        <f t="shared" si="1"/>
        <v>9.9109551686426567</v>
      </c>
      <c r="E44" s="329"/>
      <c r="H44" s="329"/>
      <c r="L44" s="351">
        <f t="shared" si="14"/>
        <v>4.3478260869565216E-2</v>
      </c>
      <c r="M44" s="352">
        <f t="shared" si="15"/>
        <v>2.5590186222235911E-2</v>
      </c>
      <c r="N44" s="329"/>
      <c r="R44" s="343">
        <f t="shared" si="7"/>
        <v>108</v>
      </c>
      <c r="S44" s="344">
        <f t="shared" si="8"/>
        <v>42.222222222222221</v>
      </c>
    </row>
    <row r="45" spans="1:19" x14ac:dyDescent="0.2">
      <c r="A45" s="329"/>
      <c r="B45" s="330"/>
      <c r="C45" s="331"/>
      <c r="D45" s="332"/>
      <c r="E45" s="329"/>
      <c r="H45" s="329"/>
      <c r="L45" s="351">
        <f t="shared" si="14"/>
        <v>4.1666666666666664E-2</v>
      </c>
      <c r="M45" s="352">
        <f t="shared" si="15"/>
        <v>2.4523928462976078E-2</v>
      </c>
      <c r="N45" s="329"/>
      <c r="R45" s="345"/>
      <c r="S45" s="346"/>
    </row>
    <row r="46" spans="1:19" x14ac:dyDescent="0.2">
      <c r="A46" s="329"/>
      <c r="B46" s="330">
        <v>50000</v>
      </c>
      <c r="C46" s="331">
        <f t="shared" ref="C46:C51" si="16">B46/(3.2808334)^3*60</f>
        <v>84951.044302651353</v>
      </c>
      <c r="D46" s="332">
        <f t="shared" ref="D46:D51" si="17">C46/3600</f>
        <v>23.597512306292042</v>
      </c>
      <c r="E46" s="329"/>
      <c r="H46" s="329"/>
      <c r="L46" s="351">
        <f t="shared" si="14"/>
        <v>0.04</v>
      </c>
      <c r="M46" s="352">
        <f t="shared" si="15"/>
        <v>2.3542971324457033E-2</v>
      </c>
      <c r="N46" s="329"/>
      <c r="R46" s="345"/>
      <c r="S46" s="346"/>
    </row>
    <row r="47" spans="1:19" x14ac:dyDescent="0.2">
      <c r="A47" s="329"/>
      <c r="B47" s="330">
        <f>B46+50000</f>
        <v>100000</v>
      </c>
      <c r="C47" s="331">
        <f t="shared" si="16"/>
        <v>169902.08860530271</v>
      </c>
      <c r="D47" s="332">
        <f t="shared" si="17"/>
        <v>47.195024612584085</v>
      </c>
      <c r="E47" s="329"/>
      <c r="H47" s="329"/>
      <c r="L47" s="351">
        <f t="shared" si="14"/>
        <v>3.8461538461538464E-2</v>
      </c>
      <c r="M47" s="352">
        <f t="shared" si="15"/>
        <v>2.2637472427362533E-2</v>
      </c>
      <c r="N47" s="329"/>
      <c r="R47" s="345"/>
      <c r="S47" s="346"/>
    </row>
    <row r="48" spans="1:19" x14ac:dyDescent="0.2">
      <c r="A48" s="329"/>
      <c r="B48" s="330">
        <f>B47+50000</f>
        <v>150000</v>
      </c>
      <c r="C48" s="331">
        <f t="shared" si="16"/>
        <v>254853.13290795404</v>
      </c>
      <c r="D48" s="332">
        <f t="shared" si="17"/>
        <v>70.792536918876124</v>
      </c>
      <c r="E48" s="329"/>
      <c r="H48" s="329"/>
      <c r="L48" s="351">
        <f t="shared" si="14"/>
        <v>3.7037037037037035E-2</v>
      </c>
      <c r="M48" s="352">
        <f t="shared" si="15"/>
        <v>2.1799047522645401E-2</v>
      </c>
      <c r="N48" s="329"/>
      <c r="R48" s="345"/>
      <c r="S48" s="329"/>
    </row>
    <row r="49" spans="1:19" x14ac:dyDescent="0.2">
      <c r="A49" s="329"/>
      <c r="B49" s="330">
        <f>B48+50000</f>
        <v>200000</v>
      </c>
      <c r="C49" s="331">
        <f t="shared" si="16"/>
        <v>339804.17721060541</v>
      </c>
      <c r="D49" s="332">
        <f t="shared" si="17"/>
        <v>94.39004922516817</v>
      </c>
      <c r="E49" s="329"/>
      <c r="H49" s="329"/>
      <c r="L49" s="351">
        <f t="shared" si="14"/>
        <v>3.5714285714285712E-2</v>
      </c>
      <c r="M49" s="352">
        <f t="shared" si="15"/>
        <v>2.1020510111122357E-2</v>
      </c>
      <c r="N49" s="329"/>
      <c r="R49" s="345"/>
      <c r="S49" s="329"/>
    </row>
    <row r="50" spans="1:19" x14ac:dyDescent="0.2">
      <c r="A50" s="329"/>
      <c r="B50" s="330">
        <f>B49+50000</f>
        <v>250000</v>
      </c>
      <c r="C50" s="331">
        <f t="shared" si="16"/>
        <v>424755.22151325672</v>
      </c>
      <c r="D50" s="332">
        <f t="shared" si="17"/>
        <v>117.9875615314602</v>
      </c>
      <c r="E50" s="329"/>
      <c r="H50" s="329"/>
      <c r="L50" s="351">
        <f t="shared" si="14"/>
        <v>3.4482758620689655E-2</v>
      </c>
      <c r="M50" s="352">
        <f t="shared" si="15"/>
        <v>2.0295664934876757E-2</v>
      </c>
      <c r="N50" s="329"/>
      <c r="R50" s="329"/>
      <c r="S50" s="329"/>
    </row>
    <row r="51" spans="1:19" ht="13.5" thickBot="1" x14ac:dyDescent="0.25">
      <c r="A51" s="329"/>
      <c r="B51" s="341">
        <f>B50+50000</f>
        <v>300000</v>
      </c>
      <c r="C51" s="355">
        <f t="shared" si="16"/>
        <v>509706.26581590809</v>
      </c>
      <c r="D51" s="356">
        <f t="shared" si="17"/>
        <v>141.58507383775225</v>
      </c>
      <c r="E51" s="329"/>
      <c r="H51" s="329"/>
      <c r="L51" s="357">
        <f t="shared" si="14"/>
        <v>3.3333333333333333E-2</v>
      </c>
      <c r="M51" s="358">
        <f t="shared" si="15"/>
        <v>1.9619142770380866E-2</v>
      </c>
      <c r="N51" s="329"/>
      <c r="R51" s="329"/>
      <c r="S51" s="329"/>
    </row>
    <row r="52" spans="1:19" x14ac:dyDescent="0.2">
      <c r="A52" s="329"/>
      <c r="E52" s="329"/>
      <c r="F52" s="359"/>
      <c r="G52" s="360"/>
      <c r="H52" s="329"/>
      <c r="I52" s="329"/>
      <c r="J52" s="329"/>
      <c r="K52" s="329"/>
      <c r="O52" s="329"/>
      <c r="P52" s="329"/>
    </row>
    <row r="53" spans="1:19" hidden="1" x14ac:dyDescent="0.2">
      <c r="A53" s="329"/>
      <c r="E53" s="329"/>
      <c r="F53" s="359"/>
      <c r="G53" s="360"/>
      <c r="H53" s="329"/>
      <c r="I53" s="329"/>
      <c r="J53" s="329"/>
      <c r="K53" s="329"/>
      <c r="O53" s="329"/>
      <c r="P53" s="329"/>
    </row>
    <row r="54" spans="1:19" hidden="1" x14ac:dyDescent="0.2">
      <c r="A54" s="329"/>
      <c r="E54" s="329"/>
      <c r="F54" s="359"/>
      <c r="G54" s="360"/>
      <c r="H54" s="329"/>
      <c r="I54" s="329"/>
      <c r="J54" s="329"/>
      <c r="K54" s="329"/>
      <c r="O54" s="329"/>
      <c r="P54" s="329"/>
    </row>
    <row r="55" spans="1:19" hidden="1" x14ac:dyDescent="0.2">
      <c r="A55" s="329"/>
      <c r="E55" s="329"/>
      <c r="F55" s="359"/>
      <c r="G55" s="360"/>
      <c r="H55" s="329"/>
      <c r="I55" s="329"/>
      <c r="J55" s="329"/>
      <c r="K55" s="329"/>
      <c r="O55" s="329"/>
      <c r="P55" s="329"/>
    </row>
    <row r="56" spans="1:19" hidden="1" x14ac:dyDescent="0.2">
      <c r="A56" s="329"/>
      <c r="E56" s="329"/>
      <c r="F56" s="359"/>
      <c r="G56" s="360"/>
      <c r="H56" s="329"/>
      <c r="I56" s="329"/>
      <c r="J56" s="329"/>
      <c r="K56" s="329"/>
      <c r="O56" s="329"/>
      <c r="P56" s="329"/>
    </row>
    <row r="57" spans="1:19" hidden="1" x14ac:dyDescent="0.2">
      <c r="A57" s="329"/>
      <c r="E57" s="329"/>
      <c r="F57" s="359"/>
      <c r="G57" s="360"/>
      <c r="H57" s="329"/>
      <c r="I57" s="329"/>
      <c r="J57" s="329"/>
      <c r="K57" s="329"/>
      <c r="O57" s="329"/>
      <c r="P57" s="329"/>
    </row>
    <row r="58" spans="1:19" hidden="1" x14ac:dyDescent="0.2">
      <c r="A58" s="329"/>
      <c r="E58" s="329"/>
      <c r="F58" s="359"/>
      <c r="G58" s="360"/>
      <c r="H58" s="329"/>
      <c r="I58" s="329"/>
      <c r="J58" s="329"/>
      <c r="K58" s="329"/>
      <c r="O58" s="329"/>
      <c r="P58" s="329"/>
    </row>
    <row r="59" spans="1:19" hidden="1" x14ac:dyDescent="0.2">
      <c r="F59" s="359"/>
      <c r="G59" s="360"/>
    </row>
  </sheetData>
  <sheetProtection sheet="1" objects="1" scenarios="1" selectLockedCells="1"/>
  <mergeCells count="7">
    <mergeCell ref="O3:P3"/>
    <mergeCell ref="R3:S3"/>
    <mergeCell ref="L28:M28"/>
    <mergeCell ref="B3:D3"/>
    <mergeCell ref="F3:G3"/>
    <mergeCell ref="I3:J3"/>
    <mergeCell ref="L3:M3"/>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showRowColHeaders="0" workbookViewId="0">
      <selection activeCell="B5" sqref="B5"/>
    </sheetView>
  </sheetViews>
  <sheetFormatPr defaultColWidth="0" defaultRowHeight="12.75" zeroHeight="1" x14ac:dyDescent="0.2"/>
  <cols>
    <col min="1" max="1" width="2.85546875" style="317" customWidth="1"/>
    <col min="2" max="2" width="9.140625" style="317" customWidth="1"/>
    <col min="3" max="3" width="11.5703125" style="317" bestFit="1" customWidth="1"/>
    <col min="4" max="4" width="2.85546875" style="317" customWidth="1"/>
    <col min="5" max="5" width="11.5703125" style="317" bestFit="1" customWidth="1"/>
    <col min="6" max="6" width="10.5703125" style="317" customWidth="1"/>
    <col min="7" max="7" width="2.85546875" style="317" customWidth="1"/>
    <col min="8" max="8" width="9.140625" style="317" customWidth="1"/>
    <col min="9" max="9" width="8" style="317" bestFit="1" customWidth="1"/>
    <col min="10" max="10" width="2.85546875" style="317" customWidth="1"/>
    <col min="11" max="11" width="11.5703125" style="317" customWidth="1"/>
    <col min="12" max="12" width="14.42578125" style="317" customWidth="1"/>
    <col min="13" max="13" width="2.85546875" style="317" customWidth="1"/>
    <col min="14" max="14" width="13.85546875" style="317" customWidth="1"/>
    <col min="15" max="15" width="12.85546875" style="317" customWidth="1"/>
    <col min="16" max="16" width="2.85546875" style="317" customWidth="1"/>
    <col min="17" max="17" width="11.5703125" style="317" bestFit="1" customWidth="1"/>
    <col min="18" max="18" width="7.5703125" style="317" bestFit="1" customWidth="1"/>
    <col min="19" max="19" width="2.85546875" style="317" customWidth="1"/>
    <col min="20" max="20" width="11.5703125" style="317" bestFit="1" customWidth="1"/>
    <col min="21" max="21" width="10.85546875" style="317" customWidth="1"/>
    <col min="22" max="22" width="2.85546875" style="317" customWidth="1"/>
    <col min="23" max="16384" width="9.140625" style="317" hidden="1"/>
  </cols>
  <sheetData>
    <row r="1" spans="1:21" x14ac:dyDescent="0.2">
      <c r="B1" s="316" t="s">
        <v>145</v>
      </c>
    </row>
    <row r="2" spans="1:21" ht="13.5" thickBot="1" x14ac:dyDescent="0.25"/>
    <row r="3" spans="1:21" ht="40.5" customHeight="1" x14ac:dyDescent="0.2">
      <c r="A3" s="361"/>
      <c r="B3" s="431" t="s">
        <v>146</v>
      </c>
      <c r="C3" s="432"/>
      <c r="D3" s="361"/>
      <c r="E3" s="431" t="s">
        <v>127</v>
      </c>
      <c r="F3" s="432"/>
      <c r="G3" s="361"/>
      <c r="H3" s="431" t="s">
        <v>128</v>
      </c>
      <c r="I3" s="432"/>
      <c r="J3" s="361"/>
      <c r="K3" s="431" t="s">
        <v>7</v>
      </c>
      <c r="L3" s="432"/>
      <c r="M3" s="361"/>
      <c r="N3" s="431" t="s">
        <v>7</v>
      </c>
      <c r="O3" s="432"/>
      <c r="P3" s="361"/>
      <c r="Q3" s="431" t="s">
        <v>1</v>
      </c>
      <c r="R3" s="432"/>
      <c r="T3" s="431" t="s">
        <v>129</v>
      </c>
      <c r="U3" s="432"/>
    </row>
    <row r="4" spans="1:21" s="363" customFormat="1" ht="27" x14ac:dyDescent="0.2">
      <c r="A4" s="362"/>
      <c r="B4" s="318" t="s">
        <v>131</v>
      </c>
      <c r="C4" s="320" t="s">
        <v>130</v>
      </c>
      <c r="D4" s="362"/>
      <c r="E4" s="318" t="s">
        <v>134</v>
      </c>
      <c r="F4" s="320" t="s">
        <v>133</v>
      </c>
      <c r="G4" s="362"/>
      <c r="H4" s="322" t="s">
        <v>136</v>
      </c>
      <c r="I4" s="323" t="s">
        <v>135</v>
      </c>
      <c r="J4" s="362"/>
      <c r="K4" s="318" t="s">
        <v>138</v>
      </c>
      <c r="L4" s="320" t="s">
        <v>137</v>
      </c>
      <c r="M4" s="362"/>
      <c r="N4" s="318" t="s">
        <v>144</v>
      </c>
      <c r="O4" s="320" t="s">
        <v>143</v>
      </c>
      <c r="P4" s="362"/>
      <c r="Q4" s="318" t="s">
        <v>140</v>
      </c>
      <c r="R4" s="320" t="s">
        <v>139</v>
      </c>
      <c r="T4" s="318" t="s">
        <v>142</v>
      </c>
      <c r="U4" s="320" t="s">
        <v>141</v>
      </c>
    </row>
    <row r="5" spans="1:21" s="364" customFormat="1" x14ac:dyDescent="0.2">
      <c r="B5" s="365">
        <v>20</v>
      </c>
      <c r="C5" s="397">
        <f t="shared" ref="C5:C38" si="0">B5*(3.2808334)^3/60</f>
        <v>11.771485662228519</v>
      </c>
      <c r="E5" s="365">
        <v>1</v>
      </c>
      <c r="F5" s="398">
        <f>E5*3.2808334*60</f>
        <v>196.85000400000001</v>
      </c>
      <c r="H5" s="366">
        <v>1</v>
      </c>
      <c r="I5" s="399">
        <f t="shared" ref="I5:I21" si="1">H5*3.28083</f>
        <v>3.2808299999999999</v>
      </c>
      <c r="K5" s="365">
        <v>1</v>
      </c>
      <c r="L5" s="399">
        <f>K5*(3.2808334)^3/60</f>
        <v>0.5885742831114259</v>
      </c>
      <c r="N5" s="365">
        <v>1</v>
      </c>
      <c r="O5" s="399">
        <f>1/L5</f>
        <v>1.6990208860530269</v>
      </c>
      <c r="P5" s="367"/>
      <c r="Q5" s="365">
        <v>1</v>
      </c>
      <c r="R5" s="400">
        <f>Q5/249</f>
        <v>4.0160642570281121E-3</v>
      </c>
      <c r="T5" s="365">
        <v>1</v>
      </c>
      <c r="U5" s="368">
        <f>T5/5*9+32</f>
        <v>33.799999999999997</v>
      </c>
    </row>
    <row r="6" spans="1:21" x14ac:dyDescent="0.2">
      <c r="B6" s="369">
        <v>1000</v>
      </c>
      <c r="C6" s="370">
        <f t="shared" si="0"/>
        <v>588.57428311142587</v>
      </c>
      <c r="E6" s="369">
        <v>0.25</v>
      </c>
      <c r="F6" s="371">
        <f>E6*3.2808334*60</f>
        <v>49.212501000000003</v>
      </c>
      <c r="H6" s="369">
        <v>5</v>
      </c>
      <c r="I6" s="372">
        <f t="shared" si="1"/>
        <v>16.404150000000001</v>
      </c>
      <c r="K6" s="369">
        <v>10</v>
      </c>
      <c r="L6" s="372">
        <f>K6*(3.2808334)^3/60</f>
        <v>5.8857428311142597</v>
      </c>
      <c r="N6" s="373">
        <f>1/K6</f>
        <v>0.1</v>
      </c>
      <c r="O6" s="374">
        <f>1/L6</f>
        <v>0.16990208860530268</v>
      </c>
      <c r="P6" s="375"/>
      <c r="Q6" s="369">
        <v>2</v>
      </c>
      <c r="R6" s="376">
        <f t="shared" ref="R6:R40" si="2">Q6/249</f>
        <v>8.0321285140562242E-3</v>
      </c>
      <c r="T6" s="369">
        <v>0</v>
      </c>
      <c r="U6" s="371">
        <f>(T6*9/5)+32</f>
        <v>32</v>
      </c>
    </row>
    <row r="7" spans="1:21" x14ac:dyDescent="0.2">
      <c r="B7" s="369">
        <f>B6+4000</f>
        <v>5000</v>
      </c>
      <c r="C7" s="370">
        <f t="shared" si="0"/>
        <v>2942.8714155571297</v>
      </c>
      <c r="E7" s="369">
        <f>E6+0.25</f>
        <v>0.5</v>
      </c>
      <c r="F7" s="371">
        <f t="shared" ref="F7:F24" si="3">E7*3.2808334*60</f>
        <v>98.425002000000006</v>
      </c>
      <c r="H7" s="369">
        <f t="shared" ref="H7:H21" si="4">H6+1</f>
        <v>6</v>
      </c>
      <c r="I7" s="372">
        <f t="shared" si="1"/>
        <v>19.684979999999999</v>
      </c>
      <c r="K7" s="369">
        <f>K6+1</f>
        <v>11</v>
      </c>
      <c r="L7" s="372">
        <f t="shared" ref="L7:L49" si="5">K7*(3.2808334)^3/60</f>
        <v>6.474317114225685</v>
      </c>
      <c r="N7" s="373">
        <f t="shared" ref="N7:O36" si="6">1/K7</f>
        <v>9.0909090909090912E-2</v>
      </c>
      <c r="O7" s="374">
        <f t="shared" si="6"/>
        <v>0.15445644418663881</v>
      </c>
      <c r="P7" s="375"/>
      <c r="Q7" s="369">
        <f>Q6+2</f>
        <v>4</v>
      </c>
      <c r="R7" s="376">
        <f t="shared" si="2"/>
        <v>1.6064257028112448E-2</v>
      </c>
      <c r="T7" s="369">
        <f>T6+1</f>
        <v>1</v>
      </c>
      <c r="U7" s="371">
        <f t="shared" ref="U7:U48" si="7">(T7*9/5)+32</f>
        <v>33.799999999999997</v>
      </c>
    </row>
    <row r="8" spans="1:21" x14ac:dyDescent="0.2">
      <c r="B8" s="369">
        <f>B7+5000</f>
        <v>10000</v>
      </c>
      <c r="C8" s="370">
        <f t="shared" si="0"/>
        <v>5885.7428311142594</v>
      </c>
      <c r="E8" s="369">
        <f t="shared" ref="E8:E24" si="8">E7+0.25</f>
        <v>0.75</v>
      </c>
      <c r="F8" s="371">
        <f t="shared" si="3"/>
        <v>147.63750300000001</v>
      </c>
      <c r="H8" s="369">
        <f t="shared" si="4"/>
        <v>7</v>
      </c>
      <c r="I8" s="372">
        <f t="shared" si="1"/>
        <v>22.965809999999998</v>
      </c>
      <c r="K8" s="369">
        <f t="shared" ref="K8:K49" si="9">K7+1</f>
        <v>12</v>
      </c>
      <c r="L8" s="372">
        <f t="shared" si="5"/>
        <v>7.0628913973371112</v>
      </c>
      <c r="N8" s="373">
        <f t="shared" si="6"/>
        <v>8.3333333333333329E-2</v>
      </c>
      <c r="O8" s="374">
        <f t="shared" si="6"/>
        <v>0.14158507383775223</v>
      </c>
      <c r="P8" s="375"/>
      <c r="Q8" s="369">
        <f t="shared" ref="Q8:Q40" si="10">Q7+2</f>
        <v>6</v>
      </c>
      <c r="R8" s="376">
        <f t="shared" si="2"/>
        <v>2.4096385542168676E-2</v>
      </c>
      <c r="T8" s="369">
        <f t="shared" ref="T8:T48" si="11">T7+1</f>
        <v>2</v>
      </c>
      <c r="U8" s="371">
        <f t="shared" si="7"/>
        <v>35.6</v>
      </c>
    </row>
    <row r="9" spans="1:21" x14ac:dyDescent="0.2">
      <c r="B9" s="369">
        <f t="shared" ref="B9:B38" si="12">B8+1000</f>
        <v>11000</v>
      </c>
      <c r="C9" s="370">
        <f t="shared" si="0"/>
        <v>6474.3171142256861</v>
      </c>
      <c r="E9" s="369">
        <f t="shared" si="8"/>
        <v>1</v>
      </c>
      <c r="F9" s="371">
        <f t="shared" si="3"/>
        <v>196.85000400000001</v>
      </c>
      <c r="H9" s="369">
        <f t="shared" si="4"/>
        <v>8</v>
      </c>
      <c r="I9" s="372">
        <f t="shared" si="1"/>
        <v>26.246639999999999</v>
      </c>
      <c r="K9" s="369">
        <f t="shared" si="9"/>
        <v>13</v>
      </c>
      <c r="L9" s="372">
        <f t="shared" si="5"/>
        <v>7.6514656804485375</v>
      </c>
      <c r="N9" s="373">
        <f t="shared" si="6"/>
        <v>7.6923076923076927E-2</v>
      </c>
      <c r="O9" s="374">
        <f t="shared" si="6"/>
        <v>0.1306939143117713</v>
      </c>
      <c r="P9" s="375"/>
      <c r="Q9" s="369">
        <f t="shared" si="10"/>
        <v>8</v>
      </c>
      <c r="R9" s="376">
        <f t="shared" si="2"/>
        <v>3.2128514056224897E-2</v>
      </c>
      <c r="T9" s="369">
        <f t="shared" si="11"/>
        <v>3</v>
      </c>
      <c r="U9" s="371">
        <f t="shared" si="7"/>
        <v>37.4</v>
      </c>
    </row>
    <row r="10" spans="1:21" x14ac:dyDescent="0.2">
      <c r="B10" s="369">
        <f t="shared" si="12"/>
        <v>12000</v>
      </c>
      <c r="C10" s="370">
        <f t="shared" si="0"/>
        <v>7062.8913973371109</v>
      </c>
      <c r="E10" s="369">
        <f t="shared" si="8"/>
        <v>1.25</v>
      </c>
      <c r="F10" s="371">
        <f t="shared" si="3"/>
        <v>246.06250500000002</v>
      </c>
      <c r="H10" s="369">
        <f t="shared" si="4"/>
        <v>9</v>
      </c>
      <c r="I10" s="372">
        <f t="shared" si="1"/>
        <v>29.527470000000001</v>
      </c>
      <c r="K10" s="369">
        <f t="shared" si="9"/>
        <v>14</v>
      </c>
      <c r="L10" s="372">
        <f t="shared" si="5"/>
        <v>8.2400399635599619</v>
      </c>
      <c r="N10" s="373">
        <f t="shared" si="6"/>
        <v>7.1428571428571425E-2</v>
      </c>
      <c r="O10" s="374">
        <f t="shared" si="6"/>
        <v>0.12135863471807337</v>
      </c>
      <c r="P10" s="375"/>
      <c r="Q10" s="369">
        <f t="shared" si="10"/>
        <v>10</v>
      </c>
      <c r="R10" s="376">
        <f t="shared" si="2"/>
        <v>4.0160642570281124E-2</v>
      </c>
      <c r="T10" s="369">
        <f t="shared" si="11"/>
        <v>4</v>
      </c>
      <c r="U10" s="371">
        <f t="shared" si="7"/>
        <v>39.200000000000003</v>
      </c>
    </row>
    <row r="11" spans="1:21" x14ac:dyDescent="0.2">
      <c r="B11" s="369">
        <f t="shared" si="12"/>
        <v>13000</v>
      </c>
      <c r="C11" s="370">
        <f t="shared" si="0"/>
        <v>7651.4656804485376</v>
      </c>
      <c r="E11" s="369">
        <f t="shared" si="8"/>
        <v>1.5</v>
      </c>
      <c r="F11" s="371">
        <f t="shared" si="3"/>
        <v>295.27500600000002</v>
      </c>
      <c r="H11" s="369">
        <f t="shared" si="4"/>
        <v>10</v>
      </c>
      <c r="I11" s="372">
        <f t="shared" si="1"/>
        <v>32.808300000000003</v>
      </c>
      <c r="K11" s="369">
        <f t="shared" si="9"/>
        <v>15</v>
      </c>
      <c r="L11" s="372">
        <f t="shared" si="5"/>
        <v>8.8286142466713891</v>
      </c>
      <c r="N11" s="373">
        <f t="shared" si="6"/>
        <v>6.6666666666666666E-2</v>
      </c>
      <c r="O11" s="374">
        <f t="shared" si="6"/>
        <v>0.11326805907020179</v>
      </c>
      <c r="P11" s="375"/>
      <c r="Q11" s="369">
        <f t="shared" si="10"/>
        <v>12</v>
      </c>
      <c r="R11" s="376">
        <f t="shared" si="2"/>
        <v>4.8192771084337352E-2</v>
      </c>
      <c r="T11" s="369">
        <f t="shared" si="11"/>
        <v>5</v>
      </c>
      <c r="U11" s="371">
        <f t="shared" si="7"/>
        <v>41</v>
      </c>
    </row>
    <row r="12" spans="1:21" x14ac:dyDescent="0.2">
      <c r="B12" s="369">
        <f t="shared" si="12"/>
        <v>14000</v>
      </c>
      <c r="C12" s="370">
        <f t="shared" si="0"/>
        <v>8240.0399635599642</v>
      </c>
      <c r="E12" s="369">
        <f t="shared" si="8"/>
        <v>1.75</v>
      </c>
      <c r="F12" s="371">
        <f t="shared" si="3"/>
        <v>344.48750700000005</v>
      </c>
      <c r="H12" s="369">
        <f t="shared" si="4"/>
        <v>11</v>
      </c>
      <c r="I12" s="372">
        <f t="shared" si="1"/>
        <v>36.089129999999997</v>
      </c>
      <c r="K12" s="369">
        <f t="shared" si="9"/>
        <v>16</v>
      </c>
      <c r="L12" s="372">
        <f t="shared" si="5"/>
        <v>9.4171885297828144</v>
      </c>
      <c r="N12" s="373">
        <f t="shared" si="6"/>
        <v>6.25E-2</v>
      </c>
      <c r="O12" s="374">
        <f t="shared" si="6"/>
        <v>0.10618880537831418</v>
      </c>
      <c r="P12" s="375"/>
      <c r="Q12" s="369">
        <f t="shared" si="10"/>
        <v>14</v>
      </c>
      <c r="R12" s="376">
        <f t="shared" si="2"/>
        <v>5.6224899598393573E-2</v>
      </c>
      <c r="T12" s="369">
        <f t="shared" si="11"/>
        <v>6</v>
      </c>
      <c r="U12" s="371">
        <f t="shared" si="7"/>
        <v>42.8</v>
      </c>
    </row>
    <row r="13" spans="1:21" x14ac:dyDescent="0.2">
      <c r="B13" s="369">
        <f t="shared" si="12"/>
        <v>15000</v>
      </c>
      <c r="C13" s="370">
        <f t="shared" si="0"/>
        <v>8828.6142466713882</v>
      </c>
      <c r="E13" s="369">
        <f t="shared" si="8"/>
        <v>2</v>
      </c>
      <c r="F13" s="371">
        <f t="shared" si="3"/>
        <v>393.70000800000003</v>
      </c>
      <c r="H13" s="369">
        <f t="shared" si="4"/>
        <v>12</v>
      </c>
      <c r="I13" s="372">
        <f t="shared" si="1"/>
        <v>39.369959999999999</v>
      </c>
      <c r="K13" s="369">
        <f t="shared" si="9"/>
        <v>17</v>
      </c>
      <c r="L13" s="372">
        <f t="shared" si="5"/>
        <v>10.00576281289424</v>
      </c>
      <c r="N13" s="373">
        <f t="shared" si="6"/>
        <v>5.8823529411764705E-2</v>
      </c>
      <c r="O13" s="374">
        <f t="shared" si="6"/>
        <v>9.9942405061942768E-2</v>
      </c>
      <c r="P13" s="375"/>
      <c r="Q13" s="369">
        <f t="shared" si="10"/>
        <v>16</v>
      </c>
      <c r="R13" s="376">
        <f t="shared" si="2"/>
        <v>6.4257028112449793E-2</v>
      </c>
      <c r="T13" s="369">
        <f t="shared" si="11"/>
        <v>7</v>
      </c>
      <c r="U13" s="371">
        <f t="shared" si="7"/>
        <v>44.6</v>
      </c>
    </row>
    <row r="14" spans="1:21" x14ac:dyDescent="0.2">
      <c r="B14" s="369">
        <f t="shared" si="12"/>
        <v>16000</v>
      </c>
      <c r="C14" s="370">
        <f t="shared" si="0"/>
        <v>9417.1885297828139</v>
      </c>
      <c r="E14" s="369">
        <f t="shared" si="8"/>
        <v>2.25</v>
      </c>
      <c r="F14" s="371">
        <f t="shared" si="3"/>
        <v>442.912509</v>
      </c>
      <c r="H14" s="369">
        <f t="shared" si="4"/>
        <v>13</v>
      </c>
      <c r="I14" s="372">
        <f t="shared" si="1"/>
        <v>42.650790000000001</v>
      </c>
      <c r="K14" s="369">
        <f t="shared" si="9"/>
        <v>18</v>
      </c>
      <c r="L14" s="372">
        <f t="shared" si="5"/>
        <v>10.594337096005667</v>
      </c>
      <c r="N14" s="373">
        <f t="shared" si="6"/>
        <v>5.5555555555555552E-2</v>
      </c>
      <c r="O14" s="374">
        <f t="shared" si="6"/>
        <v>9.4390049225168166E-2</v>
      </c>
      <c r="P14" s="375"/>
      <c r="Q14" s="369">
        <f t="shared" si="10"/>
        <v>18</v>
      </c>
      <c r="R14" s="376">
        <f t="shared" si="2"/>
        <v>7.2289156626506021E-2</v>
      </c>
      <c r="T14" s="369">
        <f t="shared" si="11"/>
        <v>8</v>
      </c>
      <c r="U14" s="371">
        <f t="shared" si="7"/>
        <v>46.4</v>
      </c>
    </row>
    <row r="15" spans="1:21" x14ac:dyDescent="0.2">
      <c r="B15" s="369">
        <f t="shared" si="12"/>
        <v>17000</v>
      </c>
      <c r="C15" s="370">
        <f t="shared" si="0"/>
        <v>10005.762812894242</v>
      </c>
      <c r="E15" s="369">
        <f t="shared" si="8"/>
        <v>2.5</v>
      </c>
      <c r="F15" s="371">
        <f t="shared" si="3"/>
        <v>492.12501000000003</v>
      </c>
      <c r="H15" s="369">
        <f t="shared" si="4"/>
        <v>14</v>
      </c>
      <c r="I15" s="372">
        <f t="shared" si="1"/>
        <v>45.931619999999995</v>
      </c>
      <c r="K15" s="369">
        <f t="shared" si="9"/>
        <v>19</v>
      </c>
      <c r="L15" s="372">
        <f t="shared" si="5"/>
        <v>11.182911379117092</v>
      </c>
      <c r="N15" s="373">
        <f t="shared" si="6"/>
        <v>5.2631578947368418E-2</v>
      </c>
      <c r="O15" s="374">
        <f t="shared" si="6"/>
        <v>8.9422151897527738E-2</v>
      </c>
      <c r="P15" s="375"/>
      <c r="Q15" s="369">
        <f t="shared" si="10"/>
        <v>20</v>
      </c>
      <c r="R15" s="376">
        <f t="shared" si="2"/>
        <v>8.0321285140562249E-2</v>
      </c>
      <c r="T15" s="369">
        <f t="shared" si="11"/>
        <v>9</v>
      </c>
      <c r="U15" s="371">
        <f t="shared" si="7"/>
        <v>48.2</v>
      </c>
    </row>
    <row r="16" spans="1:21" x14ac:dyDescent="0.2">
      <c r="B16" s="369">
        <f t="shared" si="12"/>
        <v>18000</v>
      </c>
      <c r="C16" s="370">
        <f t="shared" si="0"/>
        <v>10594.337096005667</v>
      </c>
      <c r="E16" s="369">
        <f t="shared" si="8"/>
        <v>2.75</v>
      </c>
      <c r="F16" s="371">
        <f t="shared" si="3"/>
        <v>541.33751100000006</v>
      </c>
      <c r="H16" s="369">
        <f t="shared" si="4"/>
        <v>15</v>
      </c>
      <c r="I16" s="372">
        <f t="shared" si="1"/>
        <v>49.212449999999997</v>
      </c>
      <c r="K16" s="369">
        <f t="shared" si="9"/>
        <v>20</v>
      </c>
      <c r="L16" s="372">
        <f t="shared" si="5"/>
        <v>11.771485662228519</v>
      </c>
      <c r="N16" s="373">
        <f t="shared" si="6"/>
        <v>0.05</v>
      </c>
      <c r="O16" s="374">
        <f t="shared" si="6"/>
        <v>8.4951044302651338E-2</v>
      </c>
      <c r="P16" s="375"/>
      <c r="Q16" s="369">
        <f t="shared" si="10"/>
        <v>22</v>
      </c>
      <c r="R16" s="376">
        <f t="shared" si="2"/>
        <v>8.8353413654618476E-2</v>
      </c>
      <c r="T16" s="369">
        <f t="shared" si="11"/>
        <v>10</v>
      </c>
      <c r="U16" s="371">
        <f t="shared" si="7"/>
        <v>50</v>
      </c>
    </row>
    <row r="17" spans="2:21" x14ac:dyDescent="0.2">
      <c r="B17" s="369">
        <f t="shared" si="12"/>
        <v>19000</v>
      </c>
      <c r="C17" s="370">
        <f t="shared" si="0"/>
        <v>11182.911379117093</v>
      </c>
      <c r="E17" s="369">
        <f t="shared" si="8"/>
        <v>3</v>
      </c>
      <c r="F17" s="371">
        <f t="shared" si="3"/>
        <v>590.55001200000004</v>
      </c>
      <c r="H17" s="369">
        <f t="shared" si="4"/>
        <v>16</v>
      </c>
      <c r="I17" s="372">
        <f t="shared" si="1"/>
        <v>52.493279999999999</v>
      </c>
      <c r="K17" s="369">
        <f t="shared" si="9"/>
        <v>21</v>
      </c>
      <c r="L17" s="372">
        <f t="shared" si="5"/>
        <v>12.360059945339945</v>
      </c>
      <c r="N17" s="373">
        <f t="shared" si="6"/>
        <v>4.7619047619047616E-2</v>
      </c>
      <c r="O17" s="374">
        <f t="shared" si="6"/>
        <v>8.0905756478715563E-2</v>
      </c>
      <c r="P17" s="375"/>
      <c r="Q17" s="369">
        <f t="shared" si="10"/>
        <v>24</v>
      </c>
      <c r="R17" s="376">
        <f t="shared" si="2"/>
        <v>9.6385542168674704E-2</v>
      </c>
      <c r="T17" s="369">
        <f t="shared" si="11"/>
        <v>11</v>
      </c>
      <c r="U17" s="371">
        <f t="shared" si="7"/>
        <v>51.8</v>
      </c>
    </row>
    <row r="18" spans="2:21" x14ac:dyDescent="0.2">
      <c r="B18" s="369">
        <f t="shared" si="12"/>
        <v>20000</v>
      </c>
      <c r="C18" s="370">
        <f t="shared" si="0"/>
        <v>11771.485662228519</v>
      </c>
      <c r="E18" s="369">
        <f t="shared" si="8"/>
        <v>3.25</v>
      </c>
      <c r="F18" s="371">
        <f t="shared" si="3"/>
        <v>639.76251300000001</v>
      </c>
      <c r="H18" s="369">
        <f t="shared" si="4"/>
        <v>17</v>
      </c>
      <c r="I18" s="372">
        <f t="shared" si="1"/>
        <v>55.77411</v>
      </c>
      <c r="K18" s="369">
        <f t="shared" si="9"/>
        <v>22</v>
      </c>
      <c r="L18" s="372">
        <f t="shared" si="5"/>
        <v>12.94863422845137</v>
      </c>
      <c r="N18" s="373">
        <f t="shared" si="6"/>
        <v>4.5454545454545456E-2</v>
      </c>
      <c r="O18" s="374">
        <f t="shared" si="6"/>
        <v>7.7228222093319407E-2</v>
      </c>
      <c r="P18" s="375"/>
      <c r="Q18" s="369">
        <f t="shared" si="10"/>
        <v>26</v>
      </c>
      <c r="R18" s="376">
        <f t="shared" si="2"/>
        <v>0.10441767068273092</v>
      </c>
      <c r="T18" s="369">
        <f t="shared" si="11"/>
        <v>12</v>
      </c>
      <c r="U18" s="371">
        <f t="shared" si="7"/>
        <v>53.6</v>
      </c>
    </row>
    <row r="19" spans="2:21" x14ac:dyDescent="0.2">
      <c r="B19" s="369">
        <f t="shared" si="12"/>
        <v>21000</v>
      </c>
      <c r="C19" s="370">
        <f t="shared" si="0"/>
        <v>12360.059945339945</v>
      </c>
      <c r="E19" s="369">
        <f t="shared" si="8"/>
        <v>3.5</v>
      </c>
      <c r="F19" s="371">
        <f t="shared" si="3"/>
        <v>688.9750140000001</v>
      </c>
      <c r="H19" s="369">
        <f t="shared" si="4"/>
        <v>18</v>
      </c>
      <c r="I19" s="372">
        <f t="shared" si="1"/>
        <v>59.054940000000002</v>
      </c>
      <c r="K19" s="369">
        <f t="shared" si="9"/>
        <v>23</v>
      </c>
      <c r="L19" s="372">
        <f t="shared" si="5"/>
        <v>13.537208511562797</v>
      </c>
      <c r="N19" s="373">
        <f t="shared" si="6"/>
        <v>4.3478260869565216E-2</v>
      </c>
      <c r="O19" s="374">
        <f t="shared" si="6"/>
        <v>7.3870473306653334E-2</v>
      </c>
      <c r="P19" s="375"/>
      <c r="Q19" s="369">
        <f t="shared" si="10"/>
        <v>28</v>
      </c>
      <c r="R19" s="376">
        <f t="shared" si="2"/>
        <v>0.11244979919678715</v>
      </c>
      <c r="T19" s="369">
        <f t="shared" si="11"/>
        <v>13</v>
      </c>
      <c r="U19" s="371">
        <f t="shared" si="7"/>
        <v>55.4</v>
      </c>
    </row>
    <row r="20" spans="2:21" x14ac:dyDescent="0.2">
      <c r="B20" s="369">
        <f t="shared" si="12"/>
        <v>22000</v>
      </c>
      <c r="C20" s="370">
        <f t="shared" si="0"/>
        <v>12948.634228451372</v>
      </c>
      <c r="E20" s="369">
        <f t="shared" si="8"/>
        <v>3.75</v>
      </c>
      <c r="F20" s="371">
        <f t="shared" si="3"/>
        <v>738.18751500000008</v>
      </c>
      <c r="H20" s="369">
        <f t="shared" si="4"/>
        <v>19</v>
      </c>
      <c r="I20" s="372">
        <f t="shared" si="1"/>
        <v>62.335769999999997</v>
      </c>
      <c r="K20" s="369">
        <f t="shared" si="9"/>
        <v>24</v>
      </c>
      <c r="L20" s="372">
        <f t="shared" si="5"/>
        <v>14.125782794674222</v>
      </c>
      <c r="N20" s="373">
        <f t="shared" si="6"/>
        <v>4.1666666666666664E-2</v>
      </c>
      <c r="O20" s="374">
        <f t="shared" si="6"/>
        <v>7.0792536918876117E-2</v>
      </c>
      <c r="P20" s="375"/>
      <c r="Q20" s="369">
        <f t="shared" si="10"/>
        <v>30</v>
      </c>
      <c r="R20" s="376">
        <f t="shared" si="2"/>
        <v>0.12048192771084337</v>
      </c>
      <c r="T20" s="369">
        <f t="shared" si="11"/>
        <v>14</v>
      </c>
      <c r="U20" s="371">
        <f t="shared" si="7"/>
        <v>57.2</v>
      </c>
    </row>
    <row r="21" spans="2:21" x14ac:dyDescent="0.2">
      <c r="B21" s="369">
        <f t="shared" si="12"/>
        <v>23000</v>
      </c>
      <c r="C21" s="370">
        <f t="shared" si="0"/>
        <v>13537.208511562796</v>
      </c>
      <c r="E21" s="369">
        <f t="shared" si="8"/>
        <v>4</v>
      </c>
      <c r="F21" s="371">
        <f t="shared" si="3"/>
        <v>787.40001600000005</v>
      </c>
      <c r="H21" s="369">
        <f t="shared" si="4"/>
        <v>20</v>
      </c>
      <c r="I21" s="372">
        <f t="shared" si="1"/>
        <v>65.616600000000005</v>
      </c>
      <c r="K21" s="369">
        <f t="shared" si="9"/>
        <v>25</v>
      </c>
      <c r="L21" s="372">
        <f t="shared" si="5"/>
        <v>14.714357077785648</v>
      </c>
      <c r="N21" s="373">
        <f t="shared" si="6"/>
        <v>0.04</v>
      </c>
      <c r="O21" s="374">
        <f t="shared" si="6"/>
        <v>6.7960835442121073E-2</v>
      </c>
      <c r="P21" s="375"/>
      <c r="Q21" s="369">
        <f t="shared" si="10"/>
        <v>32</v>
      </c>
      <c r="R21" s="376">
        <f t="shared" si="2"/>
        <v>0.12851405622489959</v>
      </c>
      <c r="T21" s="369">
        <f t="shared" si="11"/>
        <v>15</v>
      </c>
      <c r="U21" s="371">
        <f t="shared" si="7"/>
        <v>59</v>
      </c>
    </row>
    <row r="22" spans="2:21" x14ac:dyDescent="0.2">
      <c r="B22" s="369">
        <f t="shared" si="12"/>
        <v>24000</v>
      </c>
      <c r="C22" s="370">
        <f t="shared" si="0"/>
        <v>14125.782794674222</v>
      </c>
      <c r="E22" s="369">
        <f t="shared" si="8"/>
        <v>4.25</v>
      </c>
      <c r="F22" s="371">
        <f t="shared" si="3"/>
        <v>836.61251700000003</v>
      </c>
      <c r="H22" s="369"/>
      <c r="I22" s="371"/>
      <c r="K22" s="369">
        <f t="shared" si="9"/>
        <v>26</v>
      </c>
      <c r="L22" s="372">
        <f t="shared" si="5"/>
        <v>15.302931360897075</v>
      </c>
      <c r="N22" s="373">
        <f t="shared" si="6"/>
        <v>3.8461538461538464E-2</v>
      </c>
      <c r="O22" s="374">
        <f t="shared" si="6"/>
        <v>6.5346957155885649E-2</v>
      </c>
      <c r="P22" s="375"/>
      <c r="Q22" s="369">
        <f t="shared" si="10"/>
        <v>34</v>
      </c>
      <c r="R22" s="376">
        <f t="shared" si="2"/>
        <v>0.13654618473895583</v>
      </c>
      <c r="T22" s="369">
        <f t="shared" si="11"/>
        <v>16</v>
      </c>
      <c r="U22" s="371">
        <f t="shared" si="7"/>
        <v>60.8</v>
      </c>
    </row>
    <row r="23" spans="2:21" x14ac:dyDescent="0.2">
      <c r="B23" s="369">
        <f t="shared" si="12"/>
        <v>25000</v>
      </c>
      <c r="C23" s="370">
        <f t="shared" si="0"/>
        <v>14714.357077785649</v>
      </c>
      <c r="E23" s="369">
        <f t="shared" si="8"/>
        <v>4.5</v>
      </c>
      <c r="F23" s="371">
        <f t="shared" si="3"/>
        <v>885.825018</v>
      </c>
      <c r="H23" s="369">
        <v>100</v>
      </c>
      <c r="I23" s="371">
        <f t="shared" ref="I23:I29" si="13">H23*3.28083</f>
        <v>328.08299999999997</v>
      </c>
      <c r="K23" s="369">
        <f t="shared" si="9"/>
        <v>27</v>
      </c>
      <c r="L23" s="372">
        <f t="shared" si="5"/>
        <v>15.8915056440085</v>
      </c>
      <c r="N23" s="373">
        <f t="shared" si="6"/>
        <v>3.7037037037037035E-2</v>
      </c>
      <c r="O23" s="374">
        <f t="shared" si="6"/>
        <v>6.2926699483445439E-2</v>
      </c>
      <c r="P23" s="375"/>
      <c r="Q23" s="369">
        <f t="shared" si="10"/>
        <v>36</v>
      </c>
      <c r="R23" s="376">
        <f t="shared" si="2"/>
        <v>0.14457831325301204</v>
      </c>
      <c r="T23" s="369">
        <f t="shared" si="11"/>
        <v>17</v>
      </c>
      <c r="U23" s="371">
        <f t="shared" si="7"/>
        <v>62.6</v>
      </c>
    </row>
    <row r="24" spans="2:21" ht="13.5" thickBot="1" x14ac:dyDescent="0.25">
      <c r="B24" s="369">
        <f t="shared" si="12"/>
        <v>26000</v>
      </c>
      <c r="C24" s="370">
        <f t="shared" si="0"/>
        <v>15302.931360897075</v>
      </c>
      <c r="E24" s="377">
        <f t="shared" si="8"/>
        <v>4.75</v>
      </c>
      <c r="F24" s="378">
        <f t="shared" si="3"/>
        <v>935.03751900000009</v>
      </c>
      <c r="H24" s="369">
        <f t="shared" ref="H24:H29" si="14">H23+10</f>
        <v>110</v>
      </c>
      <c r="I24" s="371">
        <f t="shared" si="13"/>
        <v>360.8913</v>
      </c>
      <c r="K24" s="369">
        <f t="shared" si="9"/>
        <v>28</v>
      </c>
      <c r="L24" s="372">
        <f t="shared" si="5"/>
        <v>16.480079927119924</v>
      </c>
      <c r="N24" s="373">
        <f t="shared" si="6"/>
        <v>3.5714285714285712E-2</v>
      </c>
      <c r="O24" s="374">
        <f t="shared" si="6"/>
        <v>6.0679317359036686E-2</v>
      </c>
      <c r="P24" s="375"/>
      <c r="Q24" s="369">
        <f t="shared" si="10"/>
        <v>38</v>
      </c>
      <c r="R24" s="376">
        <f t="shared" si="2"/>
        <v>0.15261044176706828</v>
      </c>
      <c r="T24" s="369">
        <f t="shared" si="11"/>
        <v>18</v>
      </c>
      <c r="U24" s="371">
        <f t="shared" si="7"/>
        <v>64.400000000000006</v>
      </c>
    </row>
    <row r="25" spans="2:21" x14ac:dyDescent="0.2">
      <c r="B25" s="369">
        <f t="shared" si="12"/>
        <v>27000</v>
      </c>
      <c r="C25" s="370">
        <f t="shared" si="0"/>
        <v>15891.505644008499</v>
      </c>
      <c r="F25" s="379"/>
      <c r="H25" s="369">
        <f t="shared" si="14"/>
        <v>120</v>
      </c>
      <c r="I25" s="371">
        <f t="shared" si="13"/>
        <v>393.69959999999998</v>
      </c>
      <c r="K25" s="369">
        <f t="shared" si="9"/>
        <v>29</v>
      </c>
      <c r="L25" s="372">
        <f t="shared" si="5"/>
        <v>17.068654210231351</v>
      </c>
      <c r="N25" s="373">
        <f t="shared" si="6"/>
        <v>3.4482758620689655E-2</v>
      </c>
      <c r="O25" s="374">
        <f t="shared" si="6"/>
        <v>5.8586927105276791E-2</v>
      </c>
      <c r="P25" s="375"/>
      <c r="Q25" s="369">
        <f t="shared" si="10"/>
        <v>40</v>
      </c>
      <c r="R25" s="376">
        <f t="shared" si="2"/>
        <v>0.1606425702811245</v>
      </c>
      <c r="T25" s="369">
        <f t="shared" si="11"/>
        <v>19</v>
      </c>
      <c r="U25" s="371">
        <f t="shared" si="7"/>
        <v>66.2</v>
      </c>
    </row>
    <row r="26" spans="2:21" x14ac:dyDescent="0.2">
      <c r="B26" s="369">
        <f t="shared" si="12"/>
        <v>28000</v>
      </c>
      <c r="C26" s="370">
        <f t="shared" si="0"/>
        <v>16480.079927119928</v>
      </c>
      <c r="H26" s="369">
        <f t="shared" si="14"/>
        <v>130</v>
      </c>
      <c r="I26" s="371">
        <f t="shared" si="13"/>
        <v>426.50790000000001</v>
      </c>
      <c r="K26" s="369">
        <f t="shared" si="9"/>
        <v>30</v>
      </c>
      <c r="L26" s="372">
        <f t="shared" si="5"/>
        <v>17.657228493342778</v>
      </c>
      <c r="N26" s="373">
        <f t="shared" si="6"/>
        <v>3.3333333333333333E-2</v>
      </c>
      <c r="O26" s="374">
        <f t="shared" si="6"/>
        <v>5.6634029535100897E-2</v>
      </c>
      <c r="P26" s="375"/>
      <c r="Q26" s="369">
        <f t="shared" si="10"/>
        <v>42</v>
      </c>
      <c r="R26" s="376">
        <f t="shared" si="2"/>
        <v>0.16867469879518071</v>
      </c>
      <c r="T26" s="369">
        <f t="shared" si="11"/>
        <v>20</v>
      </c>
      <c r="U26" s="371">
        <f t="shared" si="7"/>
        <v>68</v>
      </c>
    </row>
    <row r="27" spans="2:21" x14ac:dyDescent="0.2">
      <c r="B27" s="369">
        <f t="shared" si="12"/>
        <v>29000</v>
      </c>
      <c r="C27" s="370">
        <f t="shared" si="0"/>
        <v>17068.654210231351</v>
      </c>
      <c r="H27" s="369">
        <f t="shared" si="14"/>
        <v>140</v>
      </c>
      <c r="I27" s="371">
        <f t="shared" si="13"/>
        <v>459.31619999999998</v>
      </c>
      <c r="K27" s="369">
        <f t="shared" si="9"/>
        <v>31</v>
      </c>
      <c r="L27" s="372">
        <f t="shared" si="5"/>
        <v>18.245802776454202</v>
      </c>
      <c r="N27" s="373">
        <f t="shared" si="6"/>
        <v>3.2258064516129031E-2</v>
      </c>
      <c r="O27" s="374">
        <f t="shared" si="6"/>
        <v>5.4807125356549261E-2</v>
      </c>
      <c r="P27" s="375"/>
      <c r="Q27" s="369">
        <f t="shared" si="10"/>
        <v>44</v>
      </c>
      <c r="R27" s="376">
        <f t="shared" si="2"/>
        <v>0.17670682730923695</v>
      </c>
      <c r="T27" s="369">
        <f t="shared" si="11"/>
        <v>21</v>
      </c>
      <c r="U27" s="371">
        <f t="shared" si="7"/>
        <v>69.8</v>
      </c>
    </row>
    <row r="28" spans="2:21" x14ac:dyDescent="0.2">
      <c r="B28" s="369">
        <f t="shared" si="12"/>
        <v>30000</v>
      </c>
      <c r="C28" s="370">
        <f t="shared" si="0"/>
        <v>17657.228493342776</v>
      </c>
      <c r="H28" s="369">
        <f t="shared" si="14"/>
        <v>150</v>
      </c>
      <c r="I28" s="371">
        <f t="shared" si="13"/>
        <v>492.12450000000001</v>
      </c>
      <c r="K28" s="369">
        <f t="shared" si="9"/>
        <v>32</v>
      </c>
      <c r="L28" s="372">
        <f t="shared" si="5"/>
        <v>18.834377059565629</v>
      </c>
      <c r="N28" s="373">
        <f t="shared" si="6"/>
        <v>3.125E-2</v>
      </c>
      <c r="O28" s="374">
        <f t="shared" si="6"/>
        <v>5.3094402689157091E-2</v>
      </c>
      <c r="P28" s="375"/>
      <c r="Q28" s="369">
        <f t="shared" si="10"/>
        <v>46</v>
      </c>
      <c r="R28" s="376">
        <f t="shared" si="2"/>
        <v>0.18473895582329317</v>
      </c>
      <c r="T28" s="369">
        <f t="shared" si="11"/>
        <v>22</v>
      </c>
      <c r="U28" s="371">
        <f t="shared" si="7"/>
        <v>71.599999999999994</v>
      </c>
    </row>
    <row r="29" spans="2:21" ht="13.5" thickBot="1" x14ac:dyDescent="0.25">
      <c r="B29" s="369">
        <f t="shared" si="12"/>
        <v>31000</v>
      </c>
      <c r="C29" s="370">
        <f t="shared" si="0"/>
        <v>18245.802776454202</v>
      </c>
      <c r="H29" s="377">
        <f t="shared" si="14"/>
        <v>160</v>
      </c>
      <c r="I29" s="378">
        <f t="shared" si="13"/>
        <v>524.93280000000004</v>
      </c>
      <c r="K29" s="369">
        <f t="shared" si="9"/>
        <v>33</v>
      </c>
      <c r="L29" s="372">
        <f t="shared" si="5"/>
        <v>19.422951342677056</v>
      </c>
      <c r="N29" s="373">
        <f t="shared" si="6"/>
        <v>3.0303030303030304E-2</v>
      </c>
      <c r="O29" s="374">
        <f t="shared" si="6"/>
        <v>5.1485481395546269E-2</v>
      </c>
      <c r="P29" s="375"/>
      <c r="Q29" s="369">
        <f t="shared" si="10"/>
        <v>48</v>
      </c>
      <c r="R29" s="376">
        <f t="shared" si="2"/>
        <v>0.19277108433734941</v>
      </c>
      <c r="T29" s="369">
        <f t="shared" si="11"/>
        <v>23</v>
      </c>
      <c r="U29" s="371">
        <f t="shared" si="7"/>
        <v>73.400000000000006</v>
      </c>
    </row>
    <row r="30" spans="2:21" x14ac:dyDescent="0.2">
      <c r="B30" s="369">
        <f t="shared" si="12"/>
        <v>32000</v>
      </c>
      <c r="C30" s="370">
        <f t="shared" si="0"/>
        <v>18834.377059565628</v>
      </c>
      <c r="K30" s="369">
        <f t="shared" si="9"/>
        <v>34</v>
      </c>
      <c r="L30" s="372">
        <f t="shared" si="5"/>
        <v>20.011525625788479</v>
      </c>
      <c r="N30" s="373">
        <f t="shared" si="6"/>
        <v>2.9411764705882353E-2</v>
      </c>
      <c r="O30" s="374">
        <f t="shared" si="6"/>
        <v>4.9971202530971384E-2</v>
      </c>
      <c r="P30" s="375"/>
      <c r="Q30" s="369">
        <f t="shared" si="10"/>
        <v>50</v>
      </c>
      <c r="R30" s="376">
        <f t="shared" si="2"/>
        <v>0.20080321285140562</v>
      </c>
      <c r="T30" s="369">
        <f t="shared" si="11"/>
        <v>24</v>
      </c>
      <c r="U30" s="371">
        <f t="shared" si="7"/>
        <v>75.2</v>
      </c>
    </row>
    <row r="31" spans="2:21" x14ac:dyDescent="0.2">
      <c r="B31" s="369">
        <f t="shared" si="12"/>
        <v>33000</v>
      </c>
      <c r="C31" s="370">
        <f t="shared" si="0"/>
        <v>19422.951342677057</v>
      </c>
      <c r="K31" s="369">
        <f t="shared" si="9"/>
        <v>35</v>
      </c>
      <c r="L31" s="372">
        <f t="shared" si="5"/>
        <v>20.600099908899907</v>
      </c>
      <c r="N31" s="373">
        <f t="shared" si="6"/>
        <v>2.8571428571428571E-2</v>
      </c>
      <c r="O31" s="374">
        <f t="shared" si="6"/>
        <v>4.8543453887229346E-2</v>
      </c>
      <c r="P31" s="375"/>
      <c r="Q31" s="369">
        <f t="shared" si="10"/>
        <v>52</v>
      </c>
      <c r="R31" s="376">
        <f t="shared" si="2"/>
        <v>0.20883534136546184</v>
      </c>
      <c r="T31" s="369">
        <f t="shared" si="11"/>
        <v>25</v>
      </c>
      <c r="U31" s="371">
        <f t="shared" si="7"/>
        <v>77</v>
      </c>
    </row>
    <row r="32" spans="2:21" x14ac:dyDescent="0.2">
      <c r="B32" s="369">
        <f t="shared" si="12"/>
        <v>34000</v>
      </c>
      <c r="C32" s="370">
        <f t="shared" si="0"/>
        <v>20011.525625788483</v>
      </c>
      <c r="K32" s="369">
        <f t="shared" si="9"/>
        <v>36</v>
      </c>
      <c r="L32" s="372">
        <f t="shared" si="5"/>
        <v>21.188674192011334</v>
      </c>
      <c r="N32" s="373">
        <f t="shared" si="6"/>
        <v>2.7777777777777776E-2</v>
      </c>
      <c r="O32" s="374">
        <f t="shared" si="6"/>
        <v>4.7195024612584083E-2</v>
      </c>
      <c r="P32" s="375"/>
      <c r="Q32" s="369">
        <f t="shared" si="10"/>
        <v>54</v>
      </c>
      <c r="R32" s="376">
        <f t="shared" si="2"/>
        <v>0.21686746987951808</v>
      </c>
      <c r="T32" s="369">
        <f t="shared" si="11"/>
        <v>26</v>
      </c>
      <c r="U32" s="371">
        <f t="shared" si="7"/>
        <v>78.8</v>
      </c>
    </row>
    <row r="33" spans="2:21" x14ac:dyDescent="0.2">
      <c r="B33" s="369">
        <f t="shared" si="12"/>
        <v>35000</v>
      </c>
      <c r="C33" s="370">
        <f t="shared" si="0"/>
        <v>20600.099908899909</v>
      </c>
      <c r="K33" s="369">
        <f t="shared" si="9"/>
        <v>37</v>
      </c>
      <c r="L33" s="372">
        <f t="shared" si="5"/>
        <v>21.777248475122757</v>
      </c>
      <c r="N33" s="373">
        <f t="shared" si="6"/>
        <v>2.7027027027027029E-2</v>
      </c>
      <c r="O33" s="374">
        <f t="shared" si="6"/>
        <v>4.5919483406838567E-2</v>
      </c>
      <c r="P33" s="375"/>
      <c r="Q33" s="369">
        <f t="shared" si="10"/>
        <v>56</v>
      </c>
      <c r="R33" s="376">
        <f t="shared" si="2"/>
        <v>0.22489959839357429</v>
      </c>
      <c r="T33" s="369">
        <f t="shared" si="11"/>
        <v>27</v>
      </c>
      <c r="U33" s="371">
        <f t="shared" si="7"/>
        <v>80.599999999999994</v>
      </c>
    </row>
    <row r="34" spans="2:21" x14ac:dyDescent="0.2">
      <c r="B34" s="369">
        <f t="shared" si="12"/>
        <v>36000</v>
      </c>
      <c r="C34" s="370">
        <f t="shared" si="0"/>
        <v>21188.674192011335</v>
      </c>
      <c r="K34" s="369">
        <f t="shared" si="9"/>
        <v>38</v>
      </c>
      <c r="L34" s="372">
        <f t="shared" si="5"/>
        <v>22.365822758234184</v>
      </c>
      <c r="N34" s="373">
        <f t="shared" si="6"/>
        <v>2.6315789473684209E-2</v>
      </c>
      <c r="O34" s="374">
        <f t="shared" si="6"/>
        <v>4.4711075948763869E-2</v>
      </c>
      <c r="P34" s="375"/>
      <c r="Q34" s="369">
        <f t="shared" si="10"/>
        <v>58</v>
      </c>
      <c r="R34" s="376">
        <f t="shared" si="2"/>
        <v>0.23293172690763053</v>
      </c>
      <c r="T34" s="369">
        <f t="shared" si="11"/>
        <v>28</v>
      </c>
      <c r="U34" s="371">
        <f t="shared" si="7"/>
        <v>82.4</v>
      </c>
    </row>
    <row r="35" spans="2:21" x14ac:dyDescent="0.2">
      <c r="B35" s="369">
        <f t="shared" si="12"/>
        <v>37000</v>
      </c>
      <c r="C35" s="370">
        <f t="shared" si="0"/>
        <v>21777.248475122757</v>
      </c>
      <c r="K35" s="369">
        <f t="shared" si="9"/>
        <v>39</v>
      </c>
      <c r="L35" s="372">
        <f t="shared" si="5"/>
        <v>22.954397041345612</v>
      </c>
      <c r="N35" s="373">
        <f t="shared" si="6"/>
        <v>2.564102564102564E-2</v>
      </c>
      <c r="O35" s="374">
        <f t="shared" si="6"/>
        <v>4.3564638103923768E-2</v>
      </c>
      <c r="P35" s="375"/>
      <c r="Q35" s="369">
        <f t="shared" si="10"/>
        <v>60</v>
      </c>
      <c r="R35" s="376">
        <f t="shared" si="2"/>
        <v>0.24096385542168675</v>
      </c>
      <c r="T35" s="369">
        <f t="shared" si="11"/>
        <v>29</v>
      </c>
      <c r="U35" s="371">
        <f t="shared" si="7"/>
        <v>84.2</v>
      </c>
    </row>
    <row r="36" spans="2:21" ht="13.5" thickBot="1" x14ac:dyDescent="0.25">
      <c r="B36" s="369">
        <f t="shared" si="12"/>
        <v>38000</v>
      </c>
      <c r="C36" s="370">
        <f t="shared" si="0"/>
        <v>22365.822758234186</v>
      </c>
      <c r="K36" s="369">
        <f t="shared" si="9"/>
        <v>40</v>
      </c>
      <c r="L36" s="372">
        <f t="shared" si="5"/>
        <v>23.542971324457039</v>
      </c>
      <c r="N36" s="380">
        <f t="shared" si="6"/>
        <v>2.5000000000000001E-2</v>
      </c>
      <c r="O36" s="381">
        <f t="shared" si="6"/>
        <v>4.2475522151325669E-2</v>
      </c>
      <c r="P36" s="375"/>
      <c r="Q36" s="369">
        <f t="shared" si="10"/>
        <v>62</v>
      </c>
      <c r="R36" s="376">
        <f t="shared" si="2"/>
        <v>0.24899598393574296</v>
      </c>
      <c r="T36" s="369">
        <f t="shared" si="11"/>
        <v>30</v>
      </c>
      <c r="U36" s="371">
        <f t="shared" si="7"/>
        <v>86</v>
      </c>
    </row>
    <row r="37" spans="2:21" x14ac:dyDescent="0.2">
      <c r="B37" s="369">
        <f t="shared" si="12"/>
        <v>39000</v>
      </c>
      <c r="C37" s="370">
        <f t="shared" si="0"/>
        <v>22954.397041345612</v>
      </c>
      <c r="K37" s="369">
        <f t="shared" si="9"/>
        <v>41</v>
      </c>
      <c r="L37" s="372">
        <f t="shared" si="5"/>
        <v>24.131545607568462</v>
      </c>
      <c r="Q37" s="369">
        <f t="shared" si="10"/>
        <v>64</v>
      </c>
      <c r="R37" s="376">
        <f t="shared" si="2"/>
        <v>0.25702811244979917</v>
      </c>
      <c r="T37" s="369">
        <f t="shared" si="11"/>
        <v>31</v>
      </c>
      <c r="U37" s="371">
        <f t="shared" si="7"/>
        <v>87.8</v>
      </c>
    </row>
    <row r="38" spans="2:21" x14ac:dyDescent="0.2">
      <c r="B38" s="369">
        <f t="shared" si="12"/>
        <v>40000</v>
      </c>
      <c r="C38" s="370">
        <f t="shared" si="0"/>
        <v>23542.971324457038</v>
      </c>
      <c r="K38" s="369">
        <f t="shared" si="9"/>
        <v>42</v>
      </c>
      <c r="L38" s="372">
        <f t="shared" si="5"/>
        <v>24.720119890679889</v>
      </c>
      <c r="Q38" s="369">
        <f t="shared" si="10"/>
        <v>66</v>
      </c>
      <c r="R38" s="376">
        <f t="shared" si="2"/>
        <v>0.26506024096385544</v>
      </c>
      <c r="T38" s="369">
        <f t="shared" si="11"/>
        <v>32</v>
      </c>
      <c r="U38" s="371">
        <f t="shared" si="7"/>
        <v>89.6</v>
      </c>
    </row>
    <row r="39" spans="2:21" x14ac:dyDescent="0.2">
      <c r="B39" s="369"/>
      <c r="C39" s="370"/>
      <c r="K39" s="369">
        <f t="shared" si="9"/>
        <v>43</v>
      </c>
      <c r="L39" s="372">
        <f t="shared" si="5"/>
        <v>25.308694173791316</v>
      </c>
      <c r="Q39" s="369">
        <f t="shared" si="10"/>
        <v>68</v>
      </c>
      <c r="R39" s="376">
        <f t="shared" si="2"/>
        <v>0.27309236947791166</v>
      </c>
      <c r="T39" s="369">
        <f t="shared" si="11"/>
        <v>33</v>
      </c>
      <c r="U39" s="371">
        <f t="shared" si="7"/>
        <v>91.4</v>
      </c>
    </row>
    <row r="40" spans="2:21" ht="13.5" thickBot="1" x14ac:dyDescent="0.25">
      <c r="B40" s="369">
        <v>50000</v>
      </c>
      <c r="C40" s="370">
        <f t="shared" ref="C40:C49" si="15">B40*(3.2808334)^3/60</f>
        <v>29428.714155571299</v>
      </c>
      <c r="K40" s="369">
        <f t="shared" si="9"/>
        <v>44</v>
      </c>
      <c r="L40" s="372">
        <f t="shared" si="5"/>
        <v>25.89726845690274</v>
      </c>
      <c r="Q40" s="377">
        <f t="shared" si="10"/>
        <v>70</v>
      </c>
      <c r="R40" s="382">
        <f t="shared" si="2"/>
        <v>0.28112449799196787</v>
      </c>
      <c r="T40" s="369">
        <f t="shared" si="11"/>
        <v>34</v>
      </c>
      <c r="U40" s="371">
        <f t="shared" si="7"/>
        <v>93.2</v>
      </c>
    </row>
    <row r="41" spans="2:21" x14ac:dyDescent="0.2">
      <c r="B41" s="369">
        <f>B40+50000</f>
        <v>100000</v>
      </c>
      <c r="C41" s="370">
        <f t="shared" si="15"/>
        <v>58857.428311142598</v>
      </c>
      <c r="K41" s="369">
        <f t="shared" si="9"/>
        <v>45</v>
      </c>
      <c r="L41" s="372">
        <f t="shared" si="5"/>
        <v>26.485842740014167</v>
      </c>
      <c r="T41" s="369">
        <f t="shared" si="11"/>
        <v>35</v>
      </c>
      <c r="U41" s="371">
        <f t="shared" si="7"/>
        <v>95</v>
      </c>
    </row>
    <row r="42" spans="2:21" x14ac:dyDescent="0.2">
      <c r="B42" s="369">
        <f t="shared" ref="B42:B48" si="16">B41+50000</f>
        <v>150000</v>
      </c>
      <c r="C42" s="370">
        <f t="shared" si="15"/>
        <v>88286.142466713893</v>
      </c>
      <c r="K42" s="369">
        <f t="shared" si="9"/>
        <v>46</v>
      </c>
      <c r="L42" s="372">
        <f t="shared" si="5"/>
        <v>27.074417023125594</v>
      </c>
      <c r="T42" s="369">
        <f t="shared" si="11"/>
        <v>36</v>
      </c>
      <c r="U42" s="371">
        <f t="shared" si="7"/>
        <v>96.8</v>
      </c>
    </row>
    <row r="43" spans="2:21" x14ac:dyDescent="0.2">
      <c r="B43" s="369">
        <f t="shared" si="16"/>
        <v>200000</v>
      </c>
      <c r="C43" s="370">
        <f t="shared" si="15"/>
        <v>117714.8566222852</v>
      </c>
      <c r="K43" s="369">
        <f t="shared" si="9"/>
        <v>47</v>
      </c>
      <c r="L43" s="372">
        <f t="shared" si="5"/>
        <v>27.662991306237018</v>
      </c>
      <c r="T43" s="369">
        <f t="shared" si="11"/>
        <v>37</v>
      </c>
      <c r="U43" s="371">
        <f t="shared" si="7"/>
        <v>98.6</v>
      </c>
    </row>
    <row r="44" spans="2:21" x14ac:dyDescent="0.2">
      <c r="B44" s="369">
        <f t="shared" si="16"/>
        <v>250000</v>
      </c>
      <c r="C44" s="370">
        <f t="shared" si="15"/>
        <v>147143.57077785648</v>
      </c>
      <c r="K44" s="369">
        <f t="shared" si="9"/>
        <v>48</v>
      </c>
      <c r="L44" s="372">
        <f t="shared" si="5"/>
        <v>28.251565589348445</v>
      </c>
      <c r="T44" s="369">
        <f t="shared" si="11"/>
        <v>38</v>
      </c>
      <c r="U44" s="371">
        <f t="shared" si="7"/>
        <v>100.4</v>
      </c>
    </row>
    <row r="45" spans="2:21" x14ac:dyDescent="0.2">
      <c r="B45" s="369">
        <f t="shared" si="16"/>
        <v>300000</v>
      </c>
      <c r="C45" s="370">
        <f t="shared" si="15"/>
        <v>176572.28493342779</v>
      </c>
      <c r="K45" s="369">
        <f t="shared" si="9"/>
        <v>49</v>
      </c>
      <c r="L45" s="372">
        <f t="shared" si="5"/>
        <v>28.840139872459872</v>
      </c>
      <c r="T45" s="369">
        <f t="shared" si="11"/>
        <v>39</v>
      </c>
      <c r="U45" s="371">
        <f t="shared" si="7"/>
        <v>102.2</v>
      </c>
    </row>
    <row r="46" spans="2:21" x14ac:dyDescent="0.2">
      <c r="B46" s="369">
        <f t="shared" si="16"/>
        <v>350000</v>
      </c>
      <c r="C46" s="370">
        <f t="shared" si="15"/>
        <v>206000.99908899906</v>
      </c>
      <c r="K46" s="369">
        <f t="shared" si="9"/>
        <v>50</v>
      </c>
      <c r="L46" s="372">
        <f t="shared" si="5"/>
        <v>29.428714155571296</v>
      </c>
      <c r="T46" s="369">
        <f t="shared" si="11"/>
        <v>40</v>
      </c>
      <c r="U46" s="371">
        <f t="shared" si="7"/>
        <v>104</v>
      </c>
    </row>
    <row r="47" spans="2:21" x14ac:dyDescent="0.2">
      <c r="B47" s="369">
        <f t="shared" si="16"/>
        <v>400000</v>
      </c>
      <c r="C47" s="370">
        <f t="shared" si="15"/>
        <v>235429.71324457039</v>
      </c>
      <c r="K47" s="369">
        <f t="shared" si="9"/>
        <v>51</v>
      </c>
      <c r="L47" s="372">
        <f t="shared" si="5"/>
        <v>30.017288438682723</v>
      </c>
      <c r="T47" s="369">
        <f t="shared" si="11"/>
        <v>41</v>
      </c>
      <c r="U47" s="371">
        <f t="shared" si="7"/>
        <v>105.8</v>
      </c>
    </row>
    <row r="48" spans="2:21" ht="13.5" thickBot="1" x14ac:dyDescent="0.25">
      <c r="B48" s="369">
        <f t="shared" si="16"/>
        <v>450000</v>
      </c>
      <c r="C48" s="370">
        <f t="shared" si="15"/>
        <v>264858.42740014166</v>
      </c>
      <c r="K48" s="369">
        <f t="shared" si="9"/>
        <v>52</v>
      </c>
      <c r="L48" s="372">
        <f t="shared" si="5"/>
        <v>30.60586272179415</v>
      </c>
      <c r="T48" s="377">
        <f t="shared" si="11"/>
        <v>42</v>
      </c>
      <c r="U48" s="378">
        <f t="shared" si="7"/>
        <v>107.6</v>
      </c>
    </row>
    <row r="49" spans="2:14" ht="13.5" thickBot="1" x14ac:dyDescent="0.25">
      <c r="B49" s="377">
        <f>B48+50000</f>
        <v>500000</v>
      </c>
      <c r="C49" s="383">
        <f t="shared" si="15"/>
        <v>294287.14155571297</v>
      </c>
      <c r="K49" s="377">
        <f t="shared" si="9"/>
        <v>53</v>
      </c>
      <c r="L49" s="384">
        <f t="shared" si="5"/>
        <v>31.194437004905573</v>
      </c>
    </row>
    <row r="50" spans="2:14" x14ac:dyDescent="0.2">
      <c r="M50" s="385"/>
      <c r="N50" s="385"/>
    </row>
    <row r="51" spans="2:14" hidden="1" x14ac:dyDescent="0.2"/>
    <row r="52" spans="2:14" hidden="1" x14ac:dyDescent="0.2"/>
    <row r="53" spans="2:14" hidden="1" x14ac:dyDescent="0.2">
      <c r="H53" s="379"/>
    </row>
    <row r="54" spans="2:14" hidden="1" x14ac:dyDescent="0.2">
      <c r="H54" s="379"/>
    </row>
    <row r="55" spans="2:14" hidden="1" x14ac:dyDescent="0.2">
      <c r="H55" s="379"/>
    </row>
    <row r="56" spans="2:14" hidden="1" x14ac:dyDescent="0.2">
      <c r="H56" s="379"/>
    </row>
    <row r="57" spans="2:14" hidden="1" x14ac:dyDescent="0.2">
      <c r="H57" s="379"/>
    </row>
    <row r="58" spans="2:14" hidden="1" x14ac:dyDescent="0.2">
      <c r="H58" s="379"/>
    </row>
  </sheetData>
  <sheetProtection sheet="1" objects="1" scenarios="1" selectLockedCells="1"/>
  <mergeCells count="7">
    <mergeCell ref="T3:U3"/>
    <mergeCell ref="B3:C3"/>
    <mergeCell ref="E3:F3"/>
    <mergeCell ref="H3:I3"/>
    <mergeCell ref="K3:L3"/>
    <mergeCell ref="N3:O3"/>
    <mergeCell ref="Q3:R3"/>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Tunnel Fan Comparison</vt:lpstr>
      <vt:lpstr>Imperial to metric Conv.</vt:lpstr>
      <vt:lpstr>Metric to Imperial Conv.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mczarick</dc:creator>
  <cp:lastModifiedBy>Vivien</cp:lastModifiedBy>
  <cp:lastPrinted>2012-03-14T04:39:50Z</cp:lastPrinted>
  <dcterms:created xsi:type="dcterms:W3CDTF">2011-05-20T20:22:37Z</dcterms:created>
  <dcterms:modified xsi:type="dcterms:W3CDTF">2015-03-09T01:08:27Z</dcterms:modified>
</cp:coreProperties>
</file>